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xr:revisionPtr revIDLastSave="0" documentId="13_ncr:1_{068A7D83-2AFC-5740-B2AA-EFCB1A256B7A}" xr6:coauthVersionLast="47" xr6:coauthVersionMax="47" xr10:uidLastSave="{00000000-0000-0000-0000-000000000000}"/>
  <bookViews>
    <workbookView xWindow="0" yWindow="760" windowWidth="34200" windowHeight="20320" xr2:uid="{00000000-000D-0000-FFFF-FFFF00000000}"/>
  </bookViews>
  <sheets>
    <sheet name="Phiếu đo" sheetId="1" r:id="rId1"/>
    <sheet name="Hướng dẫ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" i="1" l="1"/>
  <c r="L38" i="1"/>
  <c r="M37" i="1"/>
  <c r="L37" i="1"/>
  <c r="M36" i="1"/>
  <c r="L36" i="1"/>
  <c r="M35" i="1"/>
  <c r="L35" i="1"/>
  <c r="M34" i="1"/>
  <c r="L34" i="1"/>
  <c r="M33" i="1"/>
  <c r="L33" i="1"/>
  <c r="M32" i="1"/>
  <c r="L32" i="1"/>
  <c r="M31" i="1"/>
  <c r="L31" i="1"/>
  <c r="N30" i="1"/>
  <c r="M30" i="1"/>
  <c r="L30" i="1"/>
  <c r="M29" i="1"/>
  <c r="L29" i="1"/>
  <c r="M28" i="1"/>
  <c r="L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J5" i="1"/>
  <c r="J4" i="1"/>
  <c r="N37" i="1" s="1"/>
  <c r="N29" i="1" l="1"/>
  <c r="N20" i="1"/>
  <c r="E41" i="1"/>
  <c r="T35" i="1" s="1"/>
  <c r="E51" i="1"/>
  <c r="A55" i="1" s="1"/>
  <c r="N19" i="1"/>
  <c r="E44" i="1"/>
  <c r="T33" i="1"/>
  <c r="T23" i="1"/>
  <c r="T24" i="1"/>
  <c r="T34" i="1"/>
  <c r="T36" i="1"/>
  <c r="T37" i="1"/>
  <c r="T27" i="1"/>
  <c r="T17" i="1"/>
  <c r="T28" i="1"/>
  <c r="T18" i="1"/>
  <c r="T29" i="1"/>
  <c r="T19" i="1"/>
  <c r="T30" i="1"/>
  <c r="T38" i="1"/>
  <c r="T32" i="1"/>
  <c r="T14" i="1"/>
  <c r="T26" i="1"/>
  <c r="T15" i="1"/>
  <c r="T16" i="1"/>
  <c r="E46" i="1"/>
  <c r="T31" i="1"/>
  <c r="T21" i="1"/>
  <c r="E45" i="1"/>
  <c r="T22" i="1"/>
  <c r="T25" i="1"/>
  <c r="N18" i="1"/>
  <c r="N16" i="1"/>
  <c r="N26" i="1"/>
  <c r="N36" i="1"/>
  <c r="N15" i="1"/>
  <c r="N25" i="1"/>
  <c r="N35" i="1"/>
  <c r="N34" i="1"/>
  <c r="N33" i="1"/>
  <c r="N14" i="1"/>
  <c r="N32" i="1"/>
  <c r="N24" i="1"/>
  <c r="N23" i="1"/>
  <c r="N22" i="1"/>
  <c r="N21" i="1"/>
  <c r="N31" i="1"/>
  <c r="E40" i="1"/>
  <c r="N38" i="1"/>
  <c r="N28" i="1"/>
  <c r="N17" i="1"/>
  <c r="N27" i="1"/>
  <c r="T20" i="1" l="1"/>
  <c r="S32" i="1"/>
  <c r="S22" i="1"/>
  <c r="S23" i="1"/>
  <c r="S33" i="1"/>
  <c r="S34" i="1"/>
  <c r="S35" i="1"/>
  <c r="S36" i="1"/>
  <c r="S26" i="1"/>
  <c r="S16" i="1"/>
  <c r="S27" i="1"/>
  <c r="S17" i="1"/>
  <c r="S28" i="1"/>
  <c r="S18" i="1"/>
  <c r="S19" i="1"/>
  <c r="S37" i="1"/>
  <c r="S21" i="1"/>
  <c r="S25" i="1"/>
  <c r="S38" i="1"/>
  <c r="S14" i="1"/>
  <c r="S29" i="1"/>
  <c r="S30" i="1"/>
  <c r="S20" i="1"/>
  <c r="S15" i="1"/>
  <c r="S31" i="1"/>
  <c r="S24" i="1"/>
  <c r="E49" i="1"/>
  <c r="E48" i="1"/>
  <c r="E50" i="1" s="1"/>
  <c r="A54" i="1" s="1"/>
  <c r="E47" i="1"/>
  <c r="Q30" i="1"/>
  <c r="Q20" i="1"/>
  <c r="Q21" i="1"/>
  <c r="E43" i="1"/>
  <c r="Q31" i="1"/>
  <c r="E42" i="1"/>
  <c r="Q32" i="1"/>
  <c r="Q33" i="1"/>
  <c r="Q34" i="1"/>
  <c r="Q24" i="1"/>
  <c r="Q14" i="1"/>
  <c r="Q25" i="1"/>
  <c r="Q15" i="1"/>
  <c r="Q26" i="1"/>
  <c r="Q16" i="1"/>
  <c r="Q17" i="1"/>
  <c r="Q35" i="1"/>
  <c r="Q23" i="1"/>
  <c r="Q36" i="1"/>
  <c r="Q37" i="1"/>
  <c r="Q27" i="1"/>
  <c r="Q38" i="1"/>
  <c r="Q28" i="1"/>
  <c r="Q18" i="1"/>
  <c r="Q29" i="1"/>
  <c r="Q19" i="1"/>
  <c r="Q22" i="1"/>
  <c r="A53" i="1" l="1"/>
  <c r="P29" i="1"/>
  <c r="P19" i="1"/>
  <c r="P20" i="1"/>
  <c r="P30" i="1"/>
  <c r="P31" i="1"/>
  <c r="P32" i="1"/>
  <c r="P33" i="1"/>
  <c r="O33" i="1" s="1"/>
  <c r="P23" i="1"/>
  <c r="O23" i="1" s="1"/>
  <c r="P24" i="1"/>
  <c r="O24" i="1" s="1"/>
  <c r="P14" i="1"/>
  <c r="P25" i="1"/>
  <c r="P15" i="1"/>
  <c r="P16" i="1"/>
  <c r="P34" i="1"/>
  <c r="O34" i="1" s="1"/>
  <c r="P35" i="1"/>
  <c r="O35" i="1" s="1"/>
  <c r="P22" i="1"/>
  <c r="P36" i="1"/>
  <c r="O36" i="1" s="1"/>
  <c r="P26" i="1"/>
  <c r="O26" i="1" s="1"/>
  <c r="P37" i="1"/>
  <c r="O37" i="1" s="1"/>
  <c r="P27" i="1"/>
  <c r="P17" i="1"/>
  <c r="P38" i="1"/>
  <c r="P28" i="1"/>
  <c r="O28" i="1" s="1"/>
  <c r="P18" i="1"/>
  <c r="P21" i="1"/>
  <c r="R31" i="1"/>
  <c r="R21" i="1"/>
  <c r="R22" i="1"/>
  <c r="R32" i="1"/>
  <c r="R33" i="1"/>
  <c r="R34" i="1"/>
  <c r="R35" i="1"/>
  <c r="R25" i="1"/>
  <c r="R15" i="1"/>
  <c r="R26" i="1"/>
  <c r="R16" i="1"/>
  <c r="R27" i="1"/>
  <c r="R17" i="1"/>
  <c r="R18" i="1"/>
  <c r="R36" i="1"/>
  <c r="R28" i="1"/>
  <c r="R24" i="1"/>
  <c r="R37" i="1"/>
  <c r="R14" i="1"/>
  <c r="R38" i="1"/>
  <c r="R29" i="1"/>
  <c r="R19" i="1"/>
  <c r="R30" i="1"/>
  <c r="R20" i="1"/>
  <c r="R23" i="1"/>
  <c r="O15" i="1" l="1"/>
  <c r="O19" i="1"/>
  <c r="O32" i="1"/>
  <c r="O16" i="1"/>
  <c r="O38" i="1"/>
  <c r="O17" i="1"/>
  <c r="O25" i="1"/>
  <c r="O29" i="1"/>
  <c r="O22" i="1"/>
  <c r="O21" i="1"/>
  <c r="O31" i="1"/>
  <c r="O18" i="1"/>
  <c r="O30" i="1"/>
  <c r="O20" i="1"/>
  <c r="O27" i="1"/>
  <c r="O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SAMITECH</author>
  </authors>
  <commentList>
    <comment ref="J7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Hằng số bảng tiêu chuẩn của biểu đồ X̄-R cho nhóm 5 mẫu. Mẫu này cố định n = 5: đổi cỡ nhóm thì phải đổi cả A₂, D₃, D₄, d₂ và số cột đo.</t>
        </r>
      </text>
    </comment>
  </commentList>
</comments>
</file>

<file path=xl/sharedStrings.xml><?xml version="1.0" encoding="utf-8"?>
<sst xmlns="http://schemas.openxmlformats.org/spreadsheetml/2006/main" count="194" uniqueCount="90">
  <si>
    <t>PHIẾU KIỂM TRA KÍCH THƯỚC THEO TẦN SUẤT (CHECK SHEET) — BIỂU ĐỒ X̄-R VÀ Cp/Cpk</t>
  </si>
  <si>
    <t>Ô nền vàng là ô cần điền. Mọi ô khác là công thức — đừng gõ đè. Dữ liệu đang có là SỐ LIỆU MẪU: xoá vùng số đo (G14:K38) rồi ghi số của mình.</t>
  </si>
  <si>
    <t>Mã chi tiết</t>
  </si>
  <si>
    <t>VD-TRUC-01</t>
  </si>
  <si>
    <t>USL — giới hạn trên</t>
  </si>
  <si>
    <t>Bản vẽ / phiên bản</t>
  </si>
  <si>
    <t>BV-001 / Rev. B</t>
  </si>
  <si>
    <t>LSL — giới hạn dưới</t>
  </si>
  <si>
    <t>Đặc tính cần đo</t>
  </si>
  <si>
    <t>Đường kính ngõng trục</t>
  </si>
  <si>
    <t>Cỡ nhóm con n</t>
  </si>
  <si>
    <t>Kích thước danh nghĩa (mm)</t>
  </si>
  <si>
    <t>A₂ (n = 5)</t>
  </si>
  <si>
    <t>Dung sai trên (+ mm)</t>
  </si>
  <si>
    <t>D₃ (n = 5)</t>
  </si>
  <si>
    <t>Dung sai dưới (− mm)</t>
  </si>
  <si>
    <t>D₄ (n = 5)</t>
  </si>
  <si>
    <t>Dụng cụ đo</t>
  </si>
  <si>
    <t>Panme điện tử 0–25 mm</t>
  </si>
  <si>
    <t>d₂ (n = 5)</t>
  </si>
  <si>
    <t>Mã hiệu chuẩn dụng cụ</t>
  </si>
  <si>
    <t>HC-000</t>
  </si>
  <si>
    <t>Máy / công đoạn</t>
  </si>
  <si>
    <t>Máy tiện CNC số …</t>
  </si>
  <si>
    <t>Nhóm</t>
  </si>
  <si>
    <t>Ngày</t>
  </si>
  <si>
    <t>Giờ</t>
  </si>
  <si>
    <t>Ca</t>
  </si>
  <si>
    <t>Lý do đo</t>
  </si>
  <si>
    <t>Người đo</t>
  </si>
  <si>
    <t>X1</t>
  </si>
  <si>
    <t>X2</t>
  </si>
  <si>
    <t>X3</t>
  </si>
  <si>
    <t>X4</t>
  </si>
  <si>
    <t>X5</t>
  </si>
  <si>
    <t>X̄</t>
  </si>
  <si>
    <t>R</t>
  </si>
  <si>
    <t>Đạt dung sai?</t>
  </si>
  <si>
    <t>Ngoài giới hạn KS?</t>
  </si>
  <si>
    <t>UCL X̄</t>
  </si>
  <si>
    <t>X̿</t>
  </si>
  <si>
    <t>LCL X̄</t>
  </si>
  <si>
    <t>UCL R</t>
  </si>
  <si>
    <t>R̄</t>
  </si>
  <si>
    <t>01/10</t>
  </si>
  <si>
    <t>06:00</t>
  </si>
  <si>
    <t>A</t>
  </si>
  <si>
    <t>Đầu ca</t>
  </si>
  <si>
    <t>NV-01</t>
  </si>
  <si>
    <t>07:00</t>
  </si>
  <si>
    <t>Chu kỳ</t>
  </si>
  <si>
    <t>08:00</t>
  </si>
  <si>
    <t>09:00</t>
  </si>
  <si>
    <t>10:00</t>
  </si>
  <si>
    <t>Thay dao</t>
  </si>
  <si>
    <t>11:00</t>
  </si>
  <si>
    <t>12:00</t>
  </si>
  <si>
    <t>13:00</t>
  </si>
  <si>
    <t>Cuối ca</t>
  </si>
  <si>
    <t>02/10</t>
  </si>
  <si>
    <t>B</t>
  </si>
  <si>
    <t>NV-02</t>
  </si>
  <si>
    <t>03/10</t>
  </si>
  <si>
    <t>NV-03</t>
  </si>
  <si>
    <t>04/10</t>
  </si>
  <si>
    <t>KẾT QUẢ — tính từ các nhóm đủ 5 số đo</t>
  </si>
  <si>
    <t>X̿ — trung bình các X̄</t>
  </si>
  <si>
    <t>R̄ — trung bình các R</t>
  </si>
  <si>
    <t>UCL của X̄ = X̿ + A₂·R̄</t>
  </si>
  <si>
    <t>LCL của X̄ = X̿ − A₂·R̄</t>
  </si>
  <si>
    <t>UCL của R = D₄·R̄</t>
  </si>
  <si>
    <t>LCL của R = D₃·R̄</t>
  </si>
  <si>
    <t>σ trong nhóm = R̄ / d₂</t>
  </si>
  <si>
    <t>Cp = (USL − LSL) / 6σ</t>
  </si>
  <si>
    <t>CPU = (USL − X̿) / 3σ</t>
  </si>
  <si>
    <t>CPL = (X̿ − LSL) / 3σ</t>
  </si>
  <si>
    <t>Cpk = min(CPU, CPL)</t>
  </si>
  <si>
    <t>Số nhóm đủ dữ liệu</t>
  </si>
  <si>
    <t>Cp, Cpk chỉ có nghĩa khi quá trình đã ổn định — tức cột "Ngoài giới hạn KS?" không có dòng nào báo XEM NGAY.</t>
  </si>
  <si>
    <t>CÁCH DÙNG MẪU NÀY</t>
  </si>
  <si>
    <t>1. Điền phần thông tin ở đầu phiếu (ô nền vàng): mã chi tiết, đặc tính, kích thước danh nghĩa, dung sai. USL và LSL tự tính.</t>
  </si>
  <si>
    <t>2. Mỗi lần đo: ghi 5 chi tiết liên tiếp vào một dòng, kèm ngày, giờ, ca, LÝ DO ĐO và người đo. Ghi số đo thật, đừng ghi OK/NG.</t>
  </si>
  <si>
    <t>3. Cột "Đạt dung sai?" so với USL/LSL (bản vẽ). Cột "Ngoài giới hạn KS?" so với giới hạn kiểm soát (tính từ số liệu) — hai thứ khác nhau.</t>
  </si>
  <si>
    <t>4. Giới hạn kiểm soát nên tính từ ít nhất 20–25 nhóm lúc quá trình chạy bình thường, rồi giữ cố định. Mẫu này tính lại theo mọi nhóm đang có — tiện để học, còn khi dùng thật hãy chép giá trị giới hạn ra và cố định lại.</t>
  </si>
  <si>
    <t>5. Mẫu cố định cỡ nhóm n = 5 (hằng số A₂ = 0,577 · D₃ = 0 · D₄ = 2,114 · d₂ = 2,326 — bảng hằng số tiêu chuẩn của biểu đồ X̄-R).</t>
  </si>
  <si>
    <t>Dấu hiệu bất thường hay dùng khi đọc biểu đồ X̄: một điểm ngoài UCL/LCL · 9 điểm liên tiếp cùng một phía đường tâm · 6 điểm liên tiếp cùng tăng hoặc cùng giảm.</t>
  </si>
  <si>
    <t>Mẫu này chỉ tự đánh dấu dấu hiệu đầu tiên (cột "Ngoài giới hạn KS?"). Các dấu hiệu còn lại hãy đọc bằng mắt trên biểu đồ.</t>
  </si>
  <si>
    <t>Số liệu điền sẵn là SỐ LIỆU MẪU, không phải số đo của nhà máy nào. Năm nhóm đầu trùng ví dụ trong bài viết.</t>
  </si>
  <si>
    <t>Bài giải thích đầy đủ: https://samitech.vn/bai-viet/check-sheet-la-gi/</t>
  </si>
  <si>
    <t>Mẫu miễn phí của SAMITECH — được dùng, sửa và chia sẻ tự 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</si>
</sst>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14" x14ac:knownFonts="1">
    <font>
      <sz val="11"/>
      <color theme="1"/>
      <name val="Calibri"/>
      <family val="2"/>
      <scheme val="minor"/>
    </font>
    <font>
      <b/>
      <sz val="14"/>
      <color rgb="FF1F4E78"/>
      <name val="Arial"/>
      <family val="2"/>
    </font>
    <font>
      <i/>
      <sz val="10"/>
      <color rgb="FF7F6000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2"/>
      <color rgb="FF1F4E78"/>
      <name val="Arial"/>
      <family val="2"/>
    </font>
    <font>
      <b/>
      <sz val="10"/>
      <color rgb="FFC00000"/>
      <name val="Arial"/>
      <family val="2"/>
    </font>
    <font>
      <b/>
      <sz val="10"/>
      <color rgb="FF7F6000"/>
      <name val="Arial"/>
      <family val="2"/>
    </font>
    <font>
      <i/>
      <sz val="10"/>
      <color rgb="FF375623"/>
      <name val="Arial"/>
      <family val="2"/>
    </font>
    <font>
      <i/>
      <sz val="10"/>
      <color rgb="FF595959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F4E78"/>
      </patternFill>
    </fill>
    <fill>
      <patternFill patternType="solid">
        <fgColor rgb="FFE2EFDA"/>
      </patternFill>
    </fill>
  </fills>
  <borders count="4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164" fontId="5" fillId="0" borderId="1" xfId="0" applyNumberFormat="1" applyFont="1" applyBorder="1"/>
    <xf numFmtId="1" fontId="4" fillId="0" borderId="1" xfId="0" applyNumberFormat="1" applyFont="1" applyBorder="1"/>
    <xf numFmtId="164" fontId="4" fillId="0" borderId="1" xfId="0" applyNumberFormat="1" applyFont="1" applyBorder="1"/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164" fontId="4" fillId="2" borderId="1" xfId="0" applyNumberFormat="1" applyFont="1" applyFill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165" fontId="3" fillId="4" borderId="1" xfId="0" applyNumberFormat="1" applyFont="1" applyFill="1" applyBorder="1"/>
    <xf numFmtId="166" fontId="3" fillId="4" borderId="1" xfId="0" applyNumberFormat="1" applyFont="1" applyFill="1" applyBorder="1"/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0" fontId="11" fillId="0" borderId="0" xfId="0" applyFont="1"/>
    <xf numFmtId="0" fontId="10" fillId="0" borderId="0" xfId="0" applyFont="1"/>
    <xf numFmtId="0" fontId="9" fillId="0" borderId="0" xfId="0" applyFont="1"/>
    <xf numFmtId="0" fontId="12" fillId="0" borderId="0" xfId="0" applyFont="1"/>
    <xf numFmtId="0" fontId="1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4" fillId="2" borderId="1" xfId="0" applyFont="1" applyFill="1" applyBorder="1"/>
    <xf numFmtId="0" fontId="0" fillId="0" borderId="2" xfId="0" applyBorder="1"/>
    <xf numFmtId="0" fontId="0" fillId="0" borderId="3" xfId="0" applyBorder="1"/>
    <xf numFmtId="0" fontId="3" fillId="0" borderId="0" xfId="0" applyFont="1"/>
    <xf numFmtId="0" fontId="0" fillId="0" borderId="0" xfId="0"/>
    <xf numFmtId="164" fontId="4" fillId="2" borderId="1" xfId="0" applyNumberFormat="1" applyFont="1" applyFill="1" applyBorder="1"/>
  </cellXfs>
  <cellStyles count="1">
    <cellStyle name="Normal" xfId="0" builtinId="0"/>
  </cellStyles>
  <dxfs count="2">
    <dxf>
      <font>
        <b/>
        <color rgb="FF9C5700"/>
        <name val="Arial"/>
      </font>
      <fill>
        <patternFill patternType="solid">
          <fgColor rgb="FFFFEB9C"/>
        </patternFill>
      </fill>
    </dxf>
    <dxf>
      <font>
        <b/>
        <color rgb="FFC00000"/>
        <name val="Arial"/>
      </font>
      <fill>
        <patternFill patternType="solid">
          <f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Biểu đồ X̄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'Phiếu đo'!$L$13</c:f>
              <c:strCache>
                <c:ptCount val="1"/>
                <c:pt idx="0">
                  <c:v>X̄</c:v>
                </c:pt>
              </c:strCache>
            </c:strRef>
          </c:tx>
          <c:spPr>
            <a:ln>
              <a:solidFill>
                <a:srgbClr val="1F4E78"/>
              </a:solidFill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numRef>
              <c:f>'Phiếu đo'!$A$14:$A$38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'Phiếu đo'!$L$14:$L$38</c:f>
              <c:numCache>
                <c:formatCode>0.0000</c:formatCode>
                <c:ptCount val="25"/>
                <c:pt idx="0">
                  <c:v>20.023999999999997</c:v>
                </c:pt>
                <c:pt idx="1">
                  <c:v>20.024799999999999</c:v>
                </c:pt>
                <c:pt idx="2">
                  <c:v>20.026400000000002</c:v>
                </c:pt>
                <c:pt idx="3">
                  <c:v>20.027999999999999</c:v>
                </c:pt>
                <c:pt idx="4">
                  <c:v>20.0258</c:v>
                </c:pt>
                <c:pt idx="5">
                  <c:v>20.027999999999999</c:v>
                </c:pt>
                <c:pt idx="6">
                  <c:v>20.030200000000001</c:v>
                </c:pt>
                <c:pt idx="7">
                  <c:v>20.026599999999998</c:v>
                </c:pt>
                <c:pt idx="8">
                  <c:v>20.017199999999999</c:v>
                </c:pt>
                <c:pt idx="9">
                  <c:v>20.023000000000003</c:v>
                </c:pt>
                <c:pt idx="10">
                  <c:v>20.022200000000002</c:v>
                </c:pt>
                <c:pt idx="11">
                  <c:v>20.017399999999999</c:v>
                </c:pt>
                <c:pt idx="12">
                  <c:v>20.029</c:v>
                </c:pt>
                <c:pt idx="13">
                  <c:v>20.023800000000001</c:v>
                </c:pt>
                <c:pt idx="14">
                  <c:v>20.0214</c:v>
                </c:pt>
                <c:pt idx="15">
                  <c:v>20.019600000000001</c:v>
                </c:pt>
                <c:pt idx="16">
                  <c:v>20.025199999999998</c:v>
                </c:pt>
                <c:pt idx="17">
                  <c:v>20.023399999999999</c:v>
                </c:pt>
                <c:pt idx="18">
                  <c:v>20.029800000000002</c:v>
                </c:pt>
                <c:pt idx="19">
                  <c:v>20.028199999999998</c:v>
                </c:pt>
                <c:pt idx="20">
                  <c:v>20.023200000000003</c:v>
                </c:pt>
                <c:pt idx="21">
                  <c:v>20.019799999999996</c:v>
                </c:pt>
                <c:pt idx="22">
                  <c:v>20.028199999999998</c:v>
                </c:pt>
                <c:pt idx="23">
                  <c:v>20.027000000000001</c:v>
                </c:pt>
                <c:pt idx="24">
                  <c:v>20.029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3F7-4740-94FC-DB8E58A4DF41}"/>
            </c:ext>
          </c:extLst>
        </c:ser>
        <c:ser>
          <c:idx val="1"/>
          <c:order val="1"/>
          <c:tx>
            <c:strRef>
              <c:f>'Phiếu đo'!$P$13</c:f>
              <c:strCache>
                <c:ptCount val="1"/>
                <c:pt idx="0">
                  <c:v>UCL X̄</c:v>
                </c:pt>
              </c:strCache>
            </c:strRef>
          </c:tx>
          <c:spPr>
            <a:ln>
              <a:solidFill>
                <a:srgbClr val="C00000"/>
              </a:solidFill>
              <a:prstDash val="dash"/>
            </a:ln>
          </c:spPr>
          <c:marker>
            <c:symbol val="none"/>
          </c:marker>
          <c:cat>
            <c:numRef>
              <c:f>'Phiếu đo'!$A$14:$A$38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'Phiếu đo'!$P$14:$P$38</c:f>
              <c:numCache>
                <c:formatCode>0.0000</c:formatCode>
                <c:ptCount val="25"/>
                <c:pt idx="0">
                  <c:v>20.037080399999997</c:v>
                </c:pt>
                <c:pt idx="1">
                  <c:v>20.037080399999997</c:v>
                </c:pt>
                <c:pt idx="2">
                  <c:v>20.037080399999997</c:v>
                </c:pt>
                <c:pt idx="3">
                  <c:v>20.037080399999997</c:v>
                </c:pt>
                <c:pt idx="4">
                  <c:v>20.037080399999997</c:v>
                </c:pt>
                <c:pt idx="5">
                  <c:v>20.037080399999997</c:v>
                </c:pt>
                <c:pt idx="6">
                  <c:v>20.037080399999997</c:v>
                </c:pt>
                <c:pt idx="7">
                  <c:v>20.037080399999997</c:v>
                </c:pt>
                <c:pt idx="8">
                  <c:v>20.037080399999997</c:v>
                </c:pt>
                <c:pt idx="9">
                  <c:v>20.037080399999997</c:v>
                </c:pt>
                <c:pt idx="10">
                  <c:v>20.037080399999997</c:v>
                </c:pt>
                <c:pt idx="11">
                  <c:v>20.037080399999997</c:v>
                </c:pt>
                <c:pt idx="12">
                  <c:v>20.037080399999997</c:v>
                </c:pt>
                <c:pt idx="13">
                  <c:v>20.037080399999997</c:v>
                </c:pt>
                <c:pt idx="14">
                  <c:v>20.037080399999997</c:v>
                </c:pt>
                <c:pt idx="15">
                  <c:v>20.037080399999997</c:v>
                </c:pt>
                <c:pt idx="16">
                  <c:v>20.037080399999997</c:v>
                </c:pt>
                <c:pt idx="17">
                  <c:v>20.037080399999997</c:v>
                </c:pt>
                <c:pt idx="18">
                  <c:v>20.037080399999997</c:v>
                </c:pt>
                <c:pt idx="19">
                  <c:v>20.037080399999997</c:v>
                </c:pt>
                <c:pt idx="20">
                  <c:v>20.037080399999997</c:v>
                </c:pt>
                <c:pt idx="21">
                  <c:v>20.037080399999997</c:v>
                </c:pt>
                <c:pt idx="22">
                  <c:v>20.037080399999997</c:v>
                </c:pt>
                <c:pt idx="23">
                  <c:v>20.037080399999997</c:v>
                </c:pt>
                <c:pt idx="24">
                  <c:v>20.037080399999997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D3F7-4740-94FC-DB8E58A4DF41}"/>
            </c:ext>
          </c:extLst>
        </c:ser>
        <c:ser>
          <c:idx val="2"/>
          <c:order val="2"/>
          <c:tx>
            <c:strRef>
              <c:f>'Phiếu đo'!$Q$13</c:f>
              <c:strCache>
                <c:ptCount val="1"/>
                <c:pt idx="0">
                  <c:v>X̿</c:v>
                </c:pt>
              </c:strCache>
            </c:strRef>
          </c:tx>
          <c:spPr>
            <a:ln>
              <a:solidFill>
                <a:srgbClr val="548235"/>
              </a:solidFill>
              <a:prstDash val="dash"/>
            </a:ln>
          </c:spPr>
          <c:marker>
            <c:symbol val="none"/>
          </c:marker>
          <c:cat>
            <c:numRef>
              <c:f>'Phiếu đo'!$A$14:$A$38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'Phiếu đo'!$Q$14:$Q$38</c:f>
              <c:numCache>
                <c:formatCode>0.0000</c:formatCode>
                <c:ptCount val="25"/>
                <c:pt idx="0">
                  <c:v>20.024847999999999</c:v>
                </c:pt>
                <c:pt idx="1">
                  <c:v>20.024847999999999</c:v>
                </c:pt>
                <c:pt idx="2">
                  <c:v>20.024847999999999</c:v>
                </c:pt>
                <c:pt idx="3">
                  <c:v>20.024847999999999</c:v>
                </c:pt>
                <c:pt idx="4">
                  <c:v>20.024847999999999</c:v>
                </c:pt>
                <c:pt idx="5">
                  <c:v>20.024847999999999</c:v>
                </c:pt>
                <c:pt idx="6">
                  <c:v>20.024847999999999</c:v>
                </c:pt>
                <c:pt idx="7">
                  <c:v>20.024847999999999</c:v>
                </c:pt>
                <c:pt idx="8">
                  <c:v>20.024847999999999</c:v>
                </c:pt>
                <c:pt idx="9">
                  <c:v>20.024847999999999</c:v>
                </c:pt>
                <c:pt idx="10">
                  <c:v>20.024847999999999</c:v>
                </c:pt>
                <c:pt idx="11">
                  <c:v>20.024847999999999</c:v>
                </c:pt>
                <c:pt idx="12">
                  <c:v>20.024847999999999</c:v>
                </c:pt>
                <c:pt idx="13">
                  <c:v>20.024847999999999</c:v>
                </c:pt>
                <c:pt idx="14">
                  <c:v>20.024847999999999</c:v>
                </c:pt>
                <c:pt idx="15">
                  <c:v>20.024847999999999</c:v>
                </c:pt>
                <c:pt idx="16">
                  <c:v>20.024847999999999</c:v>
                </c:pt>
                <c:pt idx="17">
                  <c:v>20.024847999999999</c:v>
                </c:pt>
                <c:pt idx="18">
                  <c:v>20.024847999999999</c:v>
                </c:pt>
                <c:pt idx="19">
                  <c:v>20.024847999999999</c:v>
                </c:pt>
                <c:pt idx="20">
                  <c:v>20.024847999999999</c:v>
                </c:pt>
                <c:pt idx="21">
                  <c:v>20.024847999999999</c:v>
                </c:pt>
                <c:pt idx="22">
                  <c:v>20.024847999999999</c:v>
                </c:pt>
                <c:pt idx="23">
                  <c:v>20.024847999999999</c:v>
                </c:pt>
                <c:pt idx="24">
                  <c:v>20.024847999999999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3F7-4740-94FC-DB8E58A4DF41}"/>
            </c:ext>
          </c:extLst>
        </c:ser>
        <c:ser>
          <c:idx val="3"/>
          <c:order val="3"/>
          <c:tx>
            <c:strRef>
              <c:f>'Phiếu đo'!$R$13</c:f>
              <c:strCache>
                <c:ptCount val="1"/>
                <c:pt idx="0">
                  <c:v>LCL X̄</c:v>
                </c:pt>
              </c:strCache>
            </c:strRef>
          </c:tx>
          <c:spPr>
            <a:ln>
              <a:solidFill>
                <a:srgbClr val="C00000"/>
              </a:solidFill>
              <a:prstDash val="dash"/>
            </a:ln>
          </c:spPr>
          <c:marker>
            <c:symbol val="none"/>
          </c:marker>
          <c:cat>
            <c:numRef>
              <c:f>'Phiếu đo'!$A$14:$A$38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'Phiếu đo'!$R$14:$R$38</c:f>
              <c:numCache>
                <c:formatCode>0.0000</c:formatCode>
                <c:ptCount val="25"/>
                <c:pt idx="0">
                  <c:v>20.0126156</c:v>
                </c:pt>
                <c:pt idx="1">
                  <c:v>20.0126156</c:v>
                </c:pt>
                <c:pt idx="2">
                  <c:v>20.0126156</c:v>
                </c:pt>
                <c:pt idx="3">
                  <c:v>20.0126156</c:v>
                </c:pt>
                <c:pt idx="4">
                  <c:v>20.0126156</c:v>
                </c:pt>
                <c:pt idx="5">
                  <c:v>20.0126156</c:v>
                </c:pt>
                <c:pt idx="6">
                  <c:v>20.0126156</c:v>
                </c:pt>
                <c:pt idx="7">
                  <c:v>20.0126156</c:v>
                </c:pt>
                <c:pt idx="8">
                  <c:v>20.0126156</c:v>
                </c:pt>
                <c:pt idx="9">
                  <c:v>20.0126156</c:v>
                </c:pt>
                <c:pt idx="10">
                  <c:v>20.0126156</c:v>
                </c:pt>
                <c:pt idx="11">
                  <c:v>20.0126156</c:v>
                </c:pt>
                <c:pt idx="12">
                  <c:v>20.0126156</c:v>
                </c:pt>
                <c:pt idx="13">
                  <c:v>20.0126156</c:v>
                </c:pt>
                <c:pt idx="14">
                  <c:v>20.0126156</c:v>
                </c:pt>
                <c:pt idx="15">
                  <c:v>20.0126156</c:v>
                </c:pt>
                <c:pt idx="16">
                  <c:v>20.0126156</c:v>
                </c:pt>
                <c:pt idx="17">
                  <c:v>20.0126156</c:v>
                </c:pt>
                <c:pt idx="18">
                  <c:v>20.0126156</c:v>
                </c:pt>
                <c:pt idx="19">
                  <c:v>20.0126156</c:v>
                </c:pt>
                <c:pt idx="20">
                  <c:v>20.0126156</c:v>
                </c:pt>
                <c:pt idx="21">
                  <c:v>20.0126156</c:v>
                </c:pt>
                <c:pt idx="22">
                  <c:v>20.0126156</c:v>
                </c:pt>
                <c:pt idx="23">
                  <c:v>20.0126156</c:v>
                </c:pt>
                <c:pt idx="24">
                  <c:v>20.0126156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3F7-4740-94FC-DB8E58A4D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Nhóm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X̄ (mm)</a:t>
                </a:r>
              </a:p>
            </c:rich>
          </c:tx>
          <c:overlay val="1"/>
        </c:title>
        <c:numFmt formatCode="0.0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Biểu đồ R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'Phiếu đo'!$M$13</c:f>
              <c:strCache>
                <c:ptCount val="1"/>
                <c:pt idx="0">
                  <c:v>R</c:v>
                </c:pt>
              </c:strCache>
            </c:strRef>
          </c:tx>
          <c:spPr>
            <a:ln>
              <a:solidFill>
                <a:srgbClr val="1F4E78"/>
              </a:solidFill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numRef>
              <c:f>'Phiếu đo'!$A$14:$A$38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'Phiếu đo'!$M$14:$M$38</c:f>
              <c:numCache>
                <c:formatCode>0.000</c:formatCode>
                <c:ptCount val="25"/>
                <c:pt idx="0">
                  <c:v>1.699999999999946E-2</c:v>
                </c:pt>
                <c:pt idx="1">
                  <c:v>2.2999999999999687E-2</c:v>
                </c:pt>
                <c:pt idx="2">
                  <c:v>1.699999999999946E-2</c:v>
                </c:pt>
                <c:pt idx="3">
                  <c:v>1.9000000000001904E-2</c:v>
                </c:pt>
                <c:pt idx="4">
                  <c:v>2.2000000000002018E-2</c:v>
                </c:pt>
                <c:pt idx="5">
                  <c:v>1.8999999999998352E-2</c:v>
                </c:pt>
                <c:pt idx="6">
                  <c:v>1.8000000000000682E-2</c:v>
                </c:pt>
                <c:pt idx="7">
                  <c:v>1.699999999999946E-2</c:v>
                </c:pt>
                <c:pt idx="8">
                  <c:v>1.2000000000000455E-2</c:v>
                </c:pt>
                <c:pt idx="9">
                  <c:v>1.2000000000000455E-2</c:v>
                </c:pt>
                <c:pt idx="10">
                  <c:v>2.2999999999999687E-2</c:v>
                </c:pt>
                <c:pt idx="11">
                  <c:v>2.7000000000001023E-2</c:v>
                </c:pt>
                <c:pt idx="12">
                  <c:v>1.0000000000001563E-2</c:v>
                </c:pt>
                <c:pt idx="13">
                  <c:v>1.699999999999946E-2</c:v>
                </c:pt>
                <c:pt idx="14">
                  <c:v>2.4999999999998579E-2</c:v>
                </c:pt>
                <c:pt idx="15">
                  <c:v>3.6000000000001364E-2</c:v>
                </c:pt>
                <c:pt idx="16">
                  <c:v>3.0999999999998806E-2</c:v>
                </c:pt>
                <c:pt idx="17">
                  <c:v>1.5000000000000568E-2</c:v>
                </c:pt>
                <c:pt idx="18">
                  <c:v>3.5000000000000142E-2</c:v>
                </c:pt>
                <c:pt idx="19">
                  <c:v>1.8000000000000682E-2</c:v>
                </c:pt>
                <c:pt idx="20">
                  <c:v>6.0000000000002274E-3</c:v>
                </c:pt>
                <c:pt idx="21">
                  <c:v>4.7000000000000597E-2</c:v>
                </c:pt>
                <c:pt idx="22">
                  <c:v>9.9999999999980105E-3</c:v>
                </c:pt>
                <c:pt idx="23">
                  <c:v>2.4000000000000909E-2</c:v>
                </c:pt>
                <c:pt idx="24">
                  <c:v>3.0000000000001137E-2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A9B-1946-936B-9112B9DA1AD6}"/>
            </c:ext>
          </c:extLst>
        </c:ser>
        <c:ser>
          <c:idx val="1"/>
          <c:order val="1"/>
          <c:tx>
            <c:strRef>
              <c:f>'Phiếu đo'!$S$13</c:f>
              <c:strCache>
                <c:ptCount val="1"/>
                <c:pt idx="0">
                  <c:v>UCL R</c:v>
                </c:pt>
              </c:strCache>
            </c:strRef>
          </c:tx>
          <c:spPr>
            <a:ln>
              <a:solidFill>
                <a:srgbClr val="C00000"/>
              </a:solidFill>
              <a:prstDash val="dash"/>
            </a:ln>
          </c:spPr>
          <c:marker>
            <c:symbol val="none"/>
          </c:marker>
          <c:cat>
            <c:numRef>
              <c:f>'Phiếu đo'!$A$14:$A$38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'Phiếu đo'!$S$14:$S$38</c:f>
              <c:numCache>
                <c:formatCode>0.0000</c:formatCode>
                <c:ptCount val="25"/>
                <c:pt idx="0">
                  <c:v>4.4816800000000392E-2</c:v>
                </c:pt>
                <c:pt idx="1">
                  <c:v>4.4816800000000392E-2</c:v>
                </c:pt>
                <c:pt idx="2">
                  <c:v>4.4816800000000392E-2</c:v>
                </c:pt>
                <c:pt idx="3">
                  <c:v>4.4816800000000392E-2</c:v>
                </c:pt>
                <c:pt idx="4">
                  <c:v>4.4816800000000392E-2</c:v>
                </c:pt>
                <c:pt idx="5">
                  <c:v>4.4816800000000392E-2</c:v>
                </c:pt>
                <c:pt idx="6">
                  <c:v>4.4816800000000392E-2</c:v>
                </c:pt>
                <c:pt idx="7">
                  <c:v>4.4816800000000392E-2</c:v>
                </c:pt>
                <c:pt idx="8">
                  <c:v>4.4816800000000392E-2</c:v>
                </c:pt>
                <c:pt idx="9">
                  <c:v>4.4816800000000392E-2</c:v>
                </c:pt>
                <c:pt idx="10">
                  <c:v>4.4816800000000392E-2</c:v>
                </c:pt>
                <c:pt idx="11">
                  <c:v>4.4816800000000392E-2</c:v>
                </c:pt>
                <c:pt idx="12">
                  <c:v>4.4816800000000392E-2</c:v>
                </c:pt>
                <c:pt idx="13">
                  <c:v>4.4816800000000392E-2</c:v>
                </c:pt>
                <c:pt idx="14">
                  <c:v>4.4816800000000392E-2</c:v>
                </c:pt>
                <c:pt idx="15">
                  <c:v>4.4816800000000392E-2</c:v>
                </c:pt>
                <c:pt idx="16">
                  <c:v>4.4816800000000392E-2</c:v>
                </c:pt>
                <c:pt idx="17">
                  <c:v>4.4816800000000392E-2</c:v>
                </c:pt>
                <c:pt idx="18">
                  <c:v>4.4816800000000392E-2</c:v>
                </c:pt>
                <c:pt idx="19">
                  <c:v>4.4816800000000392E-2</c:v>
                </c:pt>
                <c:pt idx="20">
                  <c:v>4.4816800000000392E-2</c:v>
                </c:pt>
                <c:pt idx="21">
                  <c:v>4.4816800000000392E-2</c:v>
                </c:pt>
                <c:pt idx="22">
                  <c:v>4.4816800000000392E-2</c:v>
                </c:pt>
                <c:pt idx="23">
                  <c:v>4.4816800000000392E-2</c:v>
                </c:pt>
                <c:pt idx="24">
                  <c:v>4.4816800000000392E-2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A9B-1946-936B-9112B9DA1AD6}"/>
            </c:ext>
          </c:extLst>
        </c:ser>
        <c:ser>
          <c:idx val="2"/>
          <c:order val="2"/>
          <c:tx>
            <c:strRef>
              <c:f>'Phiếu đo'!$T$13</c:f>
              <c:strCache>
                <c:ptCount val="1"/>
                <c:pt idx="0">
                  <c:v>R̄</c:v>
                </c:pt>
              </c:strCache>
            </c:strRef>
          </c:tx>
          <c:spPr>
            <a:ln>
              <a:solidFill>
                <a:srgbClr val="548235"/>
              </a:solidFill>
              <a:prstDash val="dash"/>
            </a:ln>
          </c:spPr>
          <c:marker>
            <c:symbol val="none"/>
          </c:marker>
          <c:cat>
            <c:numRef>
              <c:f>'Phiếu đo'!$A$14:$A$38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'Phiếu đo'!$T$14:$T$38</c:f>
              <c:numCache>
                <c:formatCode>0.0000</c:formatCode>
                <c:ptCount val="25"/>
                <c:pt idx="0">
                  <c:v>2.1200000000000187E-2</c:v>
                </c:pt>
                <c:pt idx="1">
                  <c:v>2.1200000000000187E-2</c:v>
                </c:pt>
                <c:pt idx="2">
                  <c:v>2.1200000000000187E-2</c:v>
                </c:pt>
                <c:pt idx="3">
                  <c:v>2.1200000000000187E-2</c:v>
                </c:pt>
                <c:pt idx="4">
                  <c:v>2.1200000000000187E-2</c:v>
                </c:pt>
                <c:pt idx="5">
                  <c:v>2.1200000000000187E-2</c:v>
                </c:pt>
                <c:pt idx="6">
                  <c:v>2.1200000000000187E-2</c:v>
                </c:pt>
                <c:pt idx="7">
                  <c:v>2.1200000000000187E-2</c:v>
                </c:pt>
                <c:pt idx="8">
                  <c:v>2.1200000000000187E-2</c:v>
                </c:pt>
                <c:pt idx="9">
                  <c:v>2.1200000000000187E-2</c:v>
                </c:pt>
                <c:pt idx="10">
                  <c:v>2.1200000000000187E-2</c:v>
                </c:pt>
                <c:pt idx="11">
                  <c:v>2.1200000000000187E-2</c:v>
                </c:pt>
                <c:pt idx="12">
                  <c:v>2.1200000000000187E-2</c:v>
                </c:pt>
                <c:pt idx="13">
                  <c:v>2.1200000000000187E-2</c:v>
                </c:pt>
                <c:pt idx="14">
                  <c:v>2.1200000000000187E-2</c:v>
                </c:pt>
                <c:pt idx="15">
                  <c:v>2.1200000000000187E-2</c:v>
                </c:pt>
                <c:pt idx="16">
                  <c:v>2.1200000000000187E-2</c:v>
                </c:pt>
                <c:pt idx="17">
                  <c:v>2.1200000000000187E-2</c:v>
                </c:pt>
                <c:pt idx="18">
                  <c:v>2.1200000000000187E-2</c:v>
                </c:pt>
                <c:pt idx="19">
                  <c:v>2.1200000000000187E-2</c:v>
                </c:pt>
                <c:pt idx="20">
                  <c:v>2.1200000000000187E-2</c:v>
                </c:pt>
                <c:pt idx="21">
                  <c:v>2.1200000000000187E-2</c:v>
                </c:pt>
                <c:pt idx="22">
                  <c:v>2.1200000000000187E-2</c:v>
                </c:pt>
                <c:pt idx="23">
                  <c:v>2.1200000000000187E-2</c:v>
                </c:pt>
                <c:pt idx="24">
                  <c:v>2.1200000000000187E-2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BA9B-1946-936B-9112B9DA1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Nhóm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 (mm)</a:t>
                </a:r>
              </a:p>
            </c:rich>
          </c:tx>
          <c:overlay val="1"/>
        </c:title>
        <c:numFmt formatCode="0.0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38</xdr:row>
      <xdr:rowOff>0</xdr:rowOff>
    </xdr:from>
    <xdr:ext cx="792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11</xdr:col>
      <xdr:colOff>0</xdr:colOff>
      <xdr:row>55</xdr:row>
      <xdr:rowOff>0</xdr:rowOff>
    </xdr:from>
    <xdr:ext cx="792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showGridLines="0" tabSelected="1" workbookViewId="0">
      <pane xSplit="6" ySplit="13" topLeftCell="G1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9" customWidth="1"/>
    <col min="2" max="2" width="8" customWidth="1"/>
    <col min="3" max="3" width="7" customWidth="1"/>
    <col min="4" max="4" width="5" customWidth="1"/>
    <col min="5" max="5" width="11" customWidth="1"/>
    <col min="6" max="11" width="9" customWidth="1"/>
    <col min="12" max="12" width="10" customWidth="1"/>
    <col min="13" max="13" width="8" customWidth="1"/>
    <col min="14" max="15" width="13" customWidth="1"/>
    <col min="16" max="20" width="9" customWidth="1"/>
  </cols>
  <sheetData>
    <row r="1" spans="1:20" ht="18" x14ac:dyDescent="0.2">
      <c r="A1" s="1" t="s">
        <v>0</v>
      </c>
    </row>
    <row r="2" spans="1:20" x14ac:dyDescent="0.2">
      <c r="A2" s="2" t="s">
        <v>1</v>
      </c>
    </row>
    <row r="4" spans="1:20" x14ac:dyDescent="0.2">
      <c r="A4" s="27" t="s">
        <v>2</v>
      </c>
      <c r="B4" s="28"/>
      <c r="C4" s="28"/>
      <c r="D4" s="24" t="s">
        <v>3</v>
      </c>
      <c r="E4" s="25"/>
      <c r="F4" s="26"/>
      <c r="H4" s="27" t="s">
        <v>4</v>
      </c>
      <c r="I4" s="28"/>
      <c r="J4" s="3">
        <f>D7+D8</f>
        <v>20.05</v>
      </c>
    </row>
    <row r="5" spans="1:20" x14ac:dyDescent="0.2">
      <c r="A5" s="27" t="s">
        <v>5</v>
      </c>
      <c r="B5" s="28"/>
      <c r="C5" s="28"/>
      <c r="D5" s="24" t="s">
        <v>6</v>
      </c>
      <c r="E5" s="25"/>
      <c r="F5" s="26"/>
      <c r="H5" s="27" t="s">
        <v>7</v>
      </c>
      <c r="I5" s="28"/>
      <c r="J5" s="3">
        <f>D7-D9</f>
        <v>19.95</v>
      </c>
    </row>
    <row r="6" spans="1:20" x14ac:dyDescent="0.2">
      <c r="A6" s="27" t="s">
        <v>8</v>
      </c>
      <c r="B6" s="28"/>
      <c r="C6" s="28"/>
      <c r="D6" s="24" t="s">
        <v>9</v>
      </c>
      <c r="E6" s="25"/>
      <c r="F6" s="26"/>
      <c r="H6" s="27" t="s">
        <v>10</v>
      </c>
      <c r="I6" s="28"/>
      <c r="J6" s="4">
        <v>5</v>
      </c>
    </row>
    <row r="7" spans="1:20" x14ac:dyDescent="0.2">
      <c r="A7" s="27" t="s">
        <v>11</v>
      </c>
      <c r="B7" s="28"/>
      <c r="C7" s="28"/>
      <c r="D7" s="29">
        <v>20</v>
      </c>
      <c r="E7" s="25"/>
      <c r="F7" s="26"/>
      <c r="H7" s="27" t="s">
        <v>12</v>
      </c>
      <c r="I7" s="28"/>
      <c r="J7" s="5">
        <v>0.57699999999999996</v>
      </c>
    </row>
    <row r="8" spans="1:20" x14ac:dyDescent="0.2">
      <c r="A8" s="27" t="s">
        <v>13</v>
      </c>
      <c r="B8" s="28"/>
      <c r="C8" s="28"/>
      <c r="D8" s="29">
        <v>0.05</v>
      </c>
      <c r="E8" s="25"/>
      <c r="F8" s="26"/>
      <c r="H8" s="27" t="s">
        <v>14</v>
      </c>
      <c r="I8" s="28"/>
      <c r="J8" s="5">
        <v>0</v>
      </c>
    </row>
    <row r="9" spans="1:20" x14ac:dyDescent="0.2">
      <c r="A9" s="27" t="s">
        <v>15</v>
      </c>
      <c r="B9" s="28"/>
      <c r="C9" s="28"/>
      <c r="D9" s="29">
        <v>0.05</v>
      </c>
      <c r="E9" s="25"/>
      <c r="F9" s="26"/>
      <c r="H9" s="27" t="s">
        <v>16</v>
      </c>
      <c r="I9" s="28"/>
      <c r="J9" s="5">
        <v>2.1139999999999999</v>
      </c>
    </row>
    <row r="10" spans="1:20" x14ac:dyDescent="0.2">
      <c r="A10" s="27" t="s">
        <v>17</v>
      </c>
      <c r="B10" s="28"/>
      <c r="C10" s="28"/>
      <c r="D10" s="24" t="s">
        <v>18</v>
      </c>
      <c r="E10" s="25"/>
      <c r="F10" s="26"/>
      <c r="H10" s="27" t="s">
        <v>19</v>
      </c>
      <c r="I10" s="28"/>
      <c r="J10" s="5">
        <v>2.3260000000000001</v>
      </c>
    </row>
    <row r="11" spans="1:20" x14ac:dyDescent="0.2">
      <c r="A11" s="27" t="s">
        <v>20</v>
      </c>
      <c r="B11" s="28"/>
      <c r="C11" s="28"/>
      <c r="D11" s="24" t="s">
        <v>21</v>
      </c>
      <c r="E11" s="25"/>
      <c r="F11" s="26"/>
    </row>
    <row r="12" spans="1:20" x14ac:dyDescent="0.2">
      <c r="A12" s="27" t="s">
        <v>22</v>
      </c>
      <c r="B12" s="28"/>
      <c r="C12" s="28"/>
      <c r="D12" s="24" t="s">
        <v>23</v>
      </c>
      <c r="E12" s="25"/>
      <c r="F12" s="26"/>
    </row>
    <row r="13" spans="1:20" ht="30" customHeight="1" x14ac:dyDescent="0.2">
      <c r="A13" s="6" t="s">
        <v>24</v>
      </c>
      <c r="B13" s="6" t="s">
        <v>25</v>
      </c>
      <c r="C13" s="6" t="s">
        <v>26</v>
      </c>
      <c r="D13" s="6" t="s">
        <v>27</v>
      </c>
      <c r="E13" s="6" t="s">
        <v>28</v>
      </c>
      <c r="F13" s="6" t="s">
        <v>29</v>
      </c>
      <c r="G13" s="6" t="s">
        <v>30</v>
      </c>
      <c r="H13" s="6" t="s">
        <v>31</v>
      </c>
      <c r="I13" s="6" t="s">
        <v>32</v>
      </c>
      <c r="J13" s="6" t="s">
        <v>33</v>
      </c>
      <c r="K13" s="6" t="s">
        <v>34</v>
      </c>
      <c r="L13" s="6" t="s">
        <v>35</v>
      </c>
      <c r="M13" s="6" t="s">
        <v>36</v>
      </c>
      <c r="N13" s="6" t="s">
        <v>37</v>
      </c>
      <c r="O13" s="6" t="s">
        <v>38</v>
      </c>
      <c r="P13" s="6" t="s">
        <v>39</v>
      </c>
      <c r="Q13" s="6" t="s">
        <v>40</v>
      </c>
      <c r="R13" s="6" t="s">
        <v>41</v>
      </c>
      <c r="S13" s="6" t="s">
        <v>42</v>
      </c>
      <c r="T13" s="6" t="s">
        <v>43</v>
      </c>
    </row>
    <row r="14" spans="1:20" x14ac:dyDescent="0.2">
      <c r="A14" s="7">
        <v>1</v>
      </c>
      <c r="B14" s="7" t="s">
        <v>44</v>
      </c>
      <c r="C14" s="7" t="s">
        <v>45</v>
      </c>
      <c r="D14" s="7" t="s">
        <v>46</v>
      </c>
      <c r="E14" s="8" t="s">
        <v>47</v>
      </c>
      <c r="F14" s="7" t="s">
        <v>48</v>
      </c>
      <c r="G14" s="9">
        <v>20.032</v>
      </c>
      <c r="H14" s="9">
        <v>20.018000000000001</v>
      </c>
      <c r="I14" s="9">
        <v>20.024999999999999</v>
      </c>
      <c r="J14" s="9">
        <v>20.03</v>
      </c>
      <c r="K14" s="9">
        <v>20.015000000000001</v>
      </c>
      <c r="L14" s="10">
        <f t="shared" ref="L14:L38" si="0">IF(COUNT(G14:K14)=$J$6,AVERAGE(G14:K14),"")</f>
        <v>20.023999999999997</v>
      </c>
      <c r="M14" s="11">
        <f t="shared" ref="M14:M38" si="1">IF(COUNT(G14:K14)=$J$6,MAX(G14:K14)-MIN(G14:K14),"")</f>
        <v>1.699999999999946E-2</v>
      </c>
      <c r="N14" s="12" t="str">
        <f t="shared" ref="N14:N38" si="2">IF(COUNT(G14:K14)=0,"",IF(AND(MAX(G14:K14)&lt;=$J$4,MIN(G14:K14)&gt;=$J$5),"Đạt","KHÔNG ĐẠT"))</f>
        <v>Đạt</v>
      </c>
      <c r="O14" s="12" t="str">
        <f>IF(L14="","",IF(OR(L14&gt;$P$14,L14&lt;$R$14,M14&gt;$S$14),"XEM NGAY",""))</f>
        <v/>
      </c>
      <c r="P14" s="10">
        <f t="shared" ref="P14:P38" si="3">$E$42</f>
        <v>20.037080399999997</v>
      </c>
      <c r="Q14" s="10">
        <f t="shared" ref="Q14:Q38" si="4">$E$40</f>
        <v>20.024847999999999</v>
      </c>
      <c r="R14" s="10">
        <f t="shared" ref="R14:R38" si="5">$E$43</f>
        <v>20.0126156</v>
      </c>
      <c r="S14" s="10">
        <f t="shared" ref="S14:S38" si="6">$E$44</f>
        <v>4.4816800000000392E-2</v>
      </c>
      <c r="T14" s="10">
        <f t="shared" ref="T14:T38" si="7">$E$41</f>
        <v>2.1200000000000187E-2</v>
      </c>
    </row>
    <row r="15" spans="1:20" x14ac:dyDescent="0.2">
      <c r="A15" s="7">
        <v>2</v>
      </c>
      <c r="B15" s="7" t="s">
        <v>44</v>
      </c>
      <c r="C15" s="7" t="s">
        <v>49</v>
      </c>
      <c r="D15" s="7" t="s">
        <v>46</v>
      </c>
      <c r="E15" s="8" t="s">
        <v>50</v>
      </c>
      <c r="F15" s="7" t="s">
        <v>48</v>
      </c>
      <c r="G15" s="9">
        <v>20.023</v>
      </c>
      <c r="H15" s="9">
        <v>20.035</v>
      </c>
      <c r="I15" s="9">
        <v>20.027999999999999</v>
      </c>
      <c r="J15" s="9">
        <v>20.012</v>
      </c>
      <c r="K15" s="9">
        <v>20.026</v>
      </c>
      <c r="L15" s="10">
        <f t="shared" si="0"/>
        <v>20.024799999999999</v>
      </c>
      <c r="M15" s="11">
        <f t="shared" si="1"/>
        <v>2.2999999999999687E-2</v>
      </c>
      <c r="N15" s="12" t="str">
        <f t="shared" si="2"/>
        <v>Đạt</v>
      </c>
      <c r="O15" s="12" t="str">
        <f>IF(L15="","",IF(OR(L15&gt;$P$15,L15&lt;$R$15,M15&gt;$S$15),"XEM NGAY",""))</f>
        <v/>
      </c>
      <c r="P15" s="10">
        <f t="shared" si="3"/>
        <v>20.037080399999997</v>
      </c>
      <c r="Q15" s="10">
        <f t="shared" si="4"/>
        <v>20.024847999999999</v>
      </c>
      <c r="R15" s="10">
        <f t="shared" si="5"/>
        <v>20.0126156</v>
      </c>
      <c r="S15" s="10">
        <f t="shared" si="6"/>
        <v>4.4816800000000392E-2</v>
      </c>
      <c r="T15" s="10">
        <f t="shared" si="7"/>
        <v>2.1200000000000187E-2</v>
      </c>
    </row>
    <row r="16" spans="1:20" x14ac:dyDescent="0.2">
      <c r="A16" s="7">
        <v>3</v>
      </c>
      <c r="B16" s="7" t="s">
        <v>44</v>
      </c>
      <c r="C16" s="7" t="s">
        <v>51</v>
      </c>
      <c r="D16" s="7" t="s">
        <v>46</v>
      </c>
      <c r="E16" s="8" t="s">
        <v>50</v>
      </c>
      <c r="F16" s="7" t="s">
        <v>48</v>
      </c>
      <c r="G16" s="9">
        <v>20.016999999999999</v>
      </c>
      <c r="H16" s="9">
        <v>20.029</v>
      </c>
      <c r="I16" s="9">
        <v>20.033999999999999</v>
      </c>
      <c r="J16" s="9">
        <v>20.021000000000001</v>
      </c>
      <c r="K16" s="9">
        <v>20.030999999999999</v>
      </c>
      <c r="L16" s="10">
        <f t="shared" si="0"/>
        <v>20.026400000000002</v>
      </c>
      <c r="M16" s="11">
        <f t="shared" si="1"/>
        <v>1.699999999999946E-2</v>
      </c>
      <c r="N16" s="12" t="str">
        <f t="shared" si="2"/>
        <v>Đạt</v>
      </c>
      <c r="O16" s="12" t="str">
        <f>IF(L16="","",IF(OR(L16&gt;$P$16,L16&lt;$R$16,M16&gt;$S$16),"XEM NGAY",""))</f>
        <v/>
      </c>
      <c r="P16" s="10">
        <f t="shared" si="3"/>
        <v>20.037080399999997</v>
      </c>
      <c r="Q16" s="10">
        <f t="shared" si="4"/>
        <v>20.024847999999999</v>
      </c>
      <c r="R16" s="10">
        <f t="shared" si="5"/>
        <v>20.0126156</v>
      </c>
      <c r="S16" s="10">
        <f t="shared" si="6"/>
        <v>4.4816800000000392E-2</v>
      </c>
      <c r="T16" s="10">
        <f t="shared" si="7"/>
        <v>2.1200000000000187E-2</v>
      </c>
    </row>
    <row r="17" spans="1:20" x14ac:dyDescent="0.2">
      <c r="A17" s="7">
        <v>4</v>
      </c>
      <c r="B17" s="7" t="s">
        <v>44</v>
      </c>
      <c r="C17" s="7" t="s">
        <v>52</v>
      </c>
      <c r="D17" s="7" t="s">
        <v>46</v>
      </c>
      <c r="E17" s="8" t="s">
        <v>50</v>
      </c>
      <c r="F17" s="7" t="s">
        <v>48</v>
      </c>
      <c r="G17" s="9">
        <v>20.038</v>
      </c>
      <c r="H17" s="9">
        <v>20.024000000000001</v>
      </c>
      <c r="I17" s="9">
        <v>20.018999999999998</v>
      </c>
      <c r="J17" s="9">
        <v>20.032</v>
      </c>
      <c r="K17" s="9">
        <v>20.027000000000001</v>
      </c>
      <c r="L17" s="10">
        <f t="shared" si="0"/>
        <v>20.027999999999999</v>
      </c>
      <c r="M17" s="11">
        <f t="shared" si="1"/>
        <v>1.9000000000001904E-2</v>
      </c>
      <c r="N17" s="12" t="str">
        <f t="shared" si="2"/>
        <v>Đạt</v>
      </c>
      <c r="O17" s="12" t="str">
        <f>IF(L17="","",IF(OR(L17&gt;$P$17,L17&lt;$R$17,M17&gt;$S$17),"XEM NGAY",""))</f>
        <v/>
      </c>
      <c r="P17" s="10">
        <f t="shared" si="3"/>
        <v>20.037080399999997</v>
      </c>
      <c r="Q17" s="10">
        <f t="shared" si="4"/>
        <v>20.024847999999999</v>
      </c>
      <c r="R17" s="10">
        <f t="shared" si="5"/>
        <v>20.0126156</v>
      </c>
      <c r="S17" s="10">
        <f t="shared" si="6"/>
        <v>4.4816800000000392E-2</v>
      </c>
      <c r="T17" s="10">
        <f t="shared" si="7"/>
        <v>2.1200000000000187E-2</v>
      </c>
    </row>
    <row r="18" spans="1:20" x14ac:dyDescent="0.2">
      <c r="A18" s="7">
        <v>5</v>
      </c>
      <c r="B18" s="7" t="s">
        <v>44</v>
      </c>
      <c r="C18" s="7" t="s">
        <v>53</v>
      </c>
      <c r="D18" s="7" t="s">
        <v>46</v>
      </c>
      <c r="E18" s="8" t="s">
        <v>54</v>
      </c>
      <c r="F18" s="7" t="s">
        <v>48</v>
      </c>
      <c r="G18" s="9">
        <v>20.026</v>
      </c>
      <c r="H18" s="9">
        <v>20.013999999999999</v>
      </c>
      <c r="I18" s="9">
        <v>20.03</v>
      </c>
      <c r="J18" s="9">
        <v>20.023</v>
      </c>
      <c r="K18" s="9">
        <v>20.036000000000001</v>
      </c>
      <c r="L18" s="10">
        <f t="shared" si="0"/>
        <v>20.0258</v>
      </c>
      <c r="M18" s="11">
        <f t="shared" si="1"/>
        <v>2.2000000000002018E-2</v>
      </c>
      <c r="N18" s="12" t="str">
        <f t="shared" si="2"/>
        <v>Đạt</v>
      </c>
      <c r="O18" s="12" t="str">
        <f>IF(L18="","",IF(OR(L18&gt;$P$18,L18&lt;$R$18,M18&gt;$S$18),"XEM NGAY",""))</f>
        <v/>
      </c>
      <c r="P18" s="10">
        <f t="shared" si="3"/>
        <v>20.037080399999997</v>
      </c>
      <c r="Q18" s="10">
        <f t="shared" si="4"/>
        <v>20.024847999999999</v>
      </c>
      <c r="R18" s="10">
        <f t="shared" si="5"/>
        <v>20.0126156</v>
      </c>
      <c r="S18" s="10">
        <f t="shared" si="6"/>
        <v>4.4816800000000392E-2</v>
      </c>
      <c r="T18" s="10">
        <f t="shared" si="7"/>
        <v>2.1200000000000187E-2</v>
      </c>
    </row>
    <row r="19" spans="1:20" x14ac:dyDescent="0.2">
      <c r="A19" s="7">
        <v>6</v>
      </c>
      <c r="B19" s="7" t="s">
        <v>44</v>
      </c>
      <c r="C19" s="7" t="s">
        <v>55</v>
      </c>
      <c r="D19" s="7" t="s">
        <v>46</v>
      </c>
      <c r="E19" s="8" t="s">
        <v>50</v>
      </c>
      <c r="F19" s="7" t="s">
        <v>48</v>
      </c>
      <c r="G19" s="9">
        <v>20.027000000000001</v>
      </c>
      <c r="H19" s="9">
        <v>20.036999999999999</v>
      </c>
      <c r="I19" s="9">
        <v>20.018000000000001</v>
      </c>
      <c r="J19" s="9">
        <v>20.033999999999999</v>
      </c>
      <c r="K19" s="9">
        <v>20.024000000000001</v>
      </c>
      <c r="L19" s="10">
        <f t="shared" si="0"/>
        <v>20.027999999999999</v>
      </c>
      <c r="M19" s="11">
        <f t="shared" si="1"/>
        <v>1.8999999999998352E-2</v>
      </c>
      <c r="N19" s="12" t="str">
        <f t="shared" si="2"/>
        <v>Đạt</v>
      </c>
      <c r="O19" s="12" t="str">
        <f>IF(L19="","",IF(OR(L19&gt;$P$19,L19&lt;$R$19,M19&gt;$S$19),"XEM NGAY",""))</f>
        <v/>
      </c>
      <c r="P19" s="10">
        <f t="shared" si="3"/>
        <v>20.037080399999997</v>
      </c>
      <c r="Q19" s="10">
        <f t="shared" si="4"/>
        <v>20.024847999999999</v>
      </c>
      <c r="R19" s="10">
        <f t="shared" si="5"/>
        <v>20.0126156</v>
      </c>
      <c r="S19" s="10">
        <f t="shared" si="6"/>
        <v>4.4816800000000392E-2</v>
      </c>
      <c r="T19" s="10">
        <f t="shared" si="7"/>
        <v>2.1200000000000187E-2</v>
      </c>
    </row>
    <row r="20" spans="1:20" x14ac:dyDescent="0.2">
      <c r="A20" s="7">
        <v>7</v>
      </c>
      <c r="B20" s="7" t="s">
        <v>44</v>
      </c>
      <c r="C20" s="7" t="s">
        <v>56</v>
      </c>
      <c r="D20" s="7" t="s">
        <v>46</v>
      </c>
      <c r="E20" s="8" t="s">
        <v>50</v>
      </c>
      <c r="F20" s="7" t="s">
        <v>48</v>
      </c>
      <c r="G20" s="9">
        <v>20.024000000000001</v>
      </c>
      <c r="H20" s="9">
        <v>20.042000000000002</v>
      </c>
      <c r="I20" s="9">
        <v>20.027000000000001</v>
      </c>
      <c r="J20" s="9">
        <v>20.026</v>
      </c>
      <c r="K20" s="9">
        <v>20.032</v>
      </c>
      <c r="L20" s="10">
        <f t="shared" si="0"/>
        <v>20.030200000000001</v>
      </c>
      <c r="M20" s="11">
        <f t="shared" si="1"/>
        <v>1.8000000000000682E-2</v>
      </c>
      <c r="N20" s="12" t="str">
        <f t="shared" si="2"/>
        <v>Đạt</v>
      </c>
      <c r="O20" s="12" t="str">
        <f>IF(L20="","",IF(OR(L20&gt;$P$20,L20&lt;$R$20,M20&gt;$S$20),"XEM NGAY",""))</f>
        <v/>
      </c>
      <c r="P20" s="10">
        <f t="shared" si="3"/>
        <v>20.037080399999997</v>
      </c>
      <c r="Q20" s="10">
        <f t="shared" si="4"/>
        <v>20.024847999999999</v>
      </c>
      <c r="R20" s="10">
        <f t="shared" si="5"/>
        <v>20.0126156</v>
      </c>
      <c r="S20" s="10">
        <f t="shared" si="6"/>
        <v>4.4816800000000392E-2</v>
      </c>
      <c r="T20" s="10">
        <f t="shared" si="7"/>
        <v>2.1200000000000187E-2</v>
      </c>
    </row>
    <row r="21" spans="1:20" x14ac:dyDescent="0.2">
      <c r="A21" s="7">
        <v>8</v>
      </c>
      <c r="B21" s="7" t="s">
        <v>44</v>
      </c>
      <c r="C21" s="7" t="s">
        <v>57</v>
      </c>
      <c r="D21" s="7" t="s">
        <v>46</v>
      </c>
      <c r="E21" s="8" t="s">
        <v>58</v>
      </c>
      <c r="F21" s="7" t="s">
        <v>48</v>
      </c>
      <c r="G21" s="9">
        <v>20.035</v>
      </c>
      <c r="H21" s="9">
        <v>20.026</v>
      </c>
      <c r="I21" s="9">
        <v>20.030999999999999</v>
      </c>
      <c r="J21" s="9">
        <v>20.018000000000001</v>
      </c>
      <c r="K21" s="9">
        <v>20.023</v>
      </c>
      <c r="L21" s="10">
        <f t="shared" si="0"/>
        <v>20.026599999999998</v>
      </c>
      <c r="M21" s="11">
        <f t="shared" si="1"/>
        <v>1.699999999999946E-2</v>
      </c>
      <c r="N21" s="12" t="str">
        <f t="shared" si="2"/>
        <v>Đạt</v>
      </c>
      <c r="O21" s="12" t="str">
        <f>IF(L21="","",IF(OR(L21&gt;$P$21,L21&lt;$R$21,M21&gt;$S$21),"XEM NGAY",""))</f>
        <v/>
      </c>
      <c r="P21" s="10">
        <f t="shared" si="3"/>
        <v>20.037080399999997</v>
      </c>
      <c r="Q21" s="10">
        <f t="shared" si="4"/>
        <v>20.024847999999999</v>
      </c>
      <c r="R21" s="10">
        <f t="shared" si="5"/>
        <v>20.0126156</v>
      </c>
      <c r="S21" s="10">
        <f t="shared" si="6"/>
        <v>4.4816800000000392E-2</v>
      </c>
      <c r="T21" s="10">
        <f t="shared" si="7"/>
        <v>2.1200000000000187E-2</v>
      </c>
    </row>
    <row r="22" spans="1:20" x14ac:dyDescent="0.2">
      <c r="A22" s="7">
        <v>9</v>
      </c>
      <c r="B22" s="7" t="s">
        <v>59</v>
      </c>
      <c r="C22" s="7" t="s">
        <v>45</v>
      </c>
      <c r="D22" s="7" t="s">
        <v>60</v>
      </c>
      <c r="E22" s="8" t="s">
        <v>47</v>
      </c>
      <c r="F22" s="7" t="s">
        <v>61</v>
      </c>
      <c r="G22" s="9">
        <v>20.021999999999998</v>
      </c>
      <c r="H22" s="9">
        <v>20.015000000000001</v>
      </c>
      <c r="I22" s="9">
        <v>20.013000000000002</v>
      </c>
      <c r="J22" s="9">
        <v>20.012</v>
      </c>
      <c r="K22" s="9">
        <v>20.024000000000001</v>
      </c>
      <c r="L22" s="10">
        <f t="shared" si="0"/>
        <v>20.017199999999999</v>
      </c>
      <c r="M22" s="11">
        <f t="shared" si="1"/>
        <v>1.2000000000000455E-2</v>
      </c>
      <c r="N22" s="12" t="str">
        <f t="shared" si="2"/>
        <v>Đạt</v>
      </c>
      <c r="O22" s="12" t="str">
        <f>IF(L22="","",IF(OR(L22&gt;$P$22,L22&lt;$R$22,M22&gt;$S$22),"XEM NGAY",""))</f>
        <v/>
      </c>
      <c r="P22" s="10">
        <f t="shared" si="3"/>
        <v>20.037080399999997</v>
      </c>
      <c r="Q22" s="10">
        <f t="shared" si="4"/>
        <v>20.024847999999999</v>
      </c>
      <c r="R22" s="10">
        <f t="shared" si="5"/>
        <v>20.0126156</v>
      </c>
      <c r="S22" s="10">
        <f t="shared" si="6"/>
        <v>4.4816800000000392E-2</v>
      </c>
      <c r="T22" s="10">
        <f t="shared" si="7"/>
        <v>2.1200000000000187E-2</v>
      </c>
    </row>
    <row r="23" spans="1:20" x14ac:dyDescent="0.2">
      <c r="A23" s="7">
        <v>10</v>
      </c>
      <c r="B23" s="7" t="s">
        <v>59</v>
      </c>
      <c r="C23" s="7" t="s">
        <v>49</v>
      </c>
      <c r="D23" s="7" t="s">
        <v>60</v>
      </c>
      <c r="E23" s="8" t="s">
        <v>50</v>
      </c>
      <c r="F23" s="7" t="s">
        <v>61</v>
      </c>
      <c r="G23" s="9">
        <v>20.024999999999999</v>
      </c>
      <c r="H23" s="9">
        <v>20.023</v>
      </c>
      <c r="I23" s="9">
        <v>20.027000000000001</v>
      </c>
      <c r="J23" s="9">
        <v>20.015000000000001</v>
      </c>
      <c r="K23" s="9">
        <v>20.024999999999999</v>
      </c>
      <c r="L23" s="10">
        <f t="shared" si="0"/>
        <v>20.023000000000003</v>
      </c>
      <c r="M23" s="11">
        <f t="shared" si="1"/>
        <v>1.2000000000000455E-2</v>
      </c>
      <c r="N23" s="12" t="str">
        <f t="shared" si="2"/>
        <v>Đạt</v>
      </c>
      <c r="O23" s="12" t="str">
        <f>IF(L23="","",IF(OR(L23&gt;$P$23,L23&lt;$R$23,M23&gt;$S$23),"XEM NGAY",""))</f>
        <v/>
      </c>
      <c r="P23" s="10">
        <f t="shared" si="3"/>
        <v>20.037080399999997</v>
      </c>
      <c r="Q23" s="10">
        <f t="shared" si="4"/>
        <v>20.024847999999999</v>
      </c>
      <c r="R23" s="10">
        <f t="shared" si="5"/>
        <v>20.0126156</v>
      </c>
      <c r="S23" s="10">
        <f t="shared" si="6"/>
        <v>4.4816800000000392E-2</v>
      </c>
      <c r="T23" s="10">
        <f t="shared" si="7"/>
        <v>2.1200000000000187E-2</v>
      </c>
    </row>
    <row r="24" spans="1:20" x14ac:dyDescent="0.2">
      <c r="A24" s="7">
        <v>11</v>
      </c>
      <c r="B24" s="7" t="s">
        <v>59</v>
      </c>
      <c r="C24" s="7" t="s">
        <v>51</v>
      </c>
      <c r="D24" s="7" t="s">
        <v>60</v>
      </c>
      <c r="E24" s="8" t="s">
        <v>50</v>
      </c>
      <c r="F24" s="7" t="s">
        <v>61</v>
      </c>
      <c r="G24" s="9">
        <v>20.027999999999999</v>
      </c>
      <c r="H24" s="9">
        <v>20.032</v>
      </c>
      <c r="I24" s="9">
        <v>20.018999999999998</v>
      </c>
      <c r="J24" s="9">
        <v>20.023</v>
      </c>
      <c r="K24" s="9">
        <v>20.009</v>
      </c>
      <c r="L24" s="10">
        <f t="shared" si="0"/>
        <v>20.022200000000002</v>
      </c>
      <c r="M24" s="11">
        <f t="shared" si="1"/>
        <v>2.2999999999999687E-2</v>
      </c>
      <c r="N24" s="12" t="str">
        <f t="shared" si="2"/>
        <v>Đạt</v>
      </c>
      <c r="O24" s="12" t="str">
        <f>IF(L24="","",IF(OR(L24&gt;$P$24,L24&lt;$R$24,M24&gt;$S$24),"XEM NGAY",""))</f>
        <v/>
      </c>
      <c r="P24" s="10">
        <f t="shared" si="3"/>
        <v>20.037080399999997</v>
      </c>
      <c r="Q24" s="10">
        <f t="shared" si="4"/>
        <v>20.024847999999999</v>
      </c>
      <c r="R24" s="10">
        <f t="shared" si="5"/>
        <v>20.0126156</v>
      </c>
      <c r="S24" s="10">
        <f t="shared" si="6"/>
        <v>4.4816800000000392E-2</v>
      </c>
      <c r="T24" s="10">
        <f t="shared" si="7"/>
        <v>2.1200000000000187E-2</v>
      </c>
    </row>
    <row r="25" spans="1:20" x14ac:dyDescent="0.2">
      <c r="A25" s="7">
        <v>12</v>
      </c>
      <c r="B25" s="7" t="s">
        <v>59</v>
      </c>
      <c r="C25" s="7" t="s">
        <v>52</v>
      </c>
      <c r="D25" s="7" t="s">
        <v>60</v>
      </c>
      <c r="E25" s="8" t="s">
        <v>50</v>
      </c>
      <c r="F25" s="7" t="s">
        <v>61</v>
      </c>
      <c r="G25" s="9">
        <v>20.021999999999998</v>
      </c>
      <c r="H25" s="9">
        <v>20.007999999999999</v>
      </c>
      <c r="I25" s="9">
        <v>20.013999999999999</v>
      </c>
      <c r="J25" s="9">
        <v>20.035</v>
      </c>
      <c r="K25" s="9">
        <v>20.007999999999999</v>
      </c>
      <c r="L25" s="10">
        <f t="shared" si="0"/>
        <v>20.017399999999999</v>
      </c>
      <c r="M25" s="11">
        <f t="shared" si="1"/>
        <v>2.7000000000001023E-2</v>
      </c>
      <c r="N25" s="12" t="str">
        <f t="shared" si="2"/>
        <v>Đạt</v>
      </c>
      <c r="O25" s="12" t="str">
        <f>IF(L25="","",IF(OR(L25&gt;$P$25,L25&lt;$R$25,M25&gt;$S$25),"XEM NGAY",""))</f>
        <v/>
      </c>
      <c r="P25" s="10">
        <f t="shared" si="3"/>
        <v>20.037080399999997</v>
      </c>
      <c r="Q25" s="10">
        <f t="shared" si="4"/>
        <v>20.024847999999999</v>
      </c>
      <c r="R25" s="10">
        <f t="shared" si="5"/>
        <v>20.0126156</v>
      </c>
      <c r="S25" s="10">
        <f t="shared" si="6"/>
        <v>4.4816800000000392E-2</v>
      </c>
      <c r="T25" s="10">
        <f t="shared" si="7"/>
        <v>2.1200000000000187E-2</v>
      </c>
    </row>
    <row r="26" spans="1:20" x14ac:dyDescent="0.2">
      <c r="A26" s="7">
        <v>13</v>
      </c>
      <c r="B26" s="7" t="s">
        <v>59</v>
      </c>
      <c r="C26" s="7" t="s">
        <v>53</v>
      </c>
      <c r="D26" s="7" t="s">
        <v>60</v>
      </c>
      <c r="E26" s="8" t="s">
        <v>54</v>
      </c>
      <c r="F26" s="7" t="s">
        <v>61</v>
      </c>
      <c r="G26" s="9">
        <v>20.033000000000001</v>
      </c>
      <c r="H26" s="9">
        <v>20.029</v>
      </c>
      <c r="I26" s="9">
        <v>20.023</v>
      </c>
      <c r="J26" s="9">
        <v>20.03</v>
      </c>
      <c r="K26" s="9">
        <v>20.03</v>
      </c>
      <c r="L26" s="10">
        <f t="shared" si="0"/>
        <v>20.029</v>
      </c>
      <c r="M26" s="11">
        <f t="shared" si="1"/>
        <v>1.0000000000001563E-2</v>
      </c>
      <c r="N26" s="12" t="str">
        <f t="shared" si="2"/>
        <v>Đạt</v>
      </c>
      <c r="O26" s="12" t="str">
        <f>IF(L26="","",IF(OR(L26&gt;$P$26,L26&lt;$R$26,M26&gt;$S$26),"XEM NGAY",""))</f>
        <v/>
      </c>
      <c r="P26" s="10">
        <f t="shared" si="3"/>
        <v>20.037080399999997</v>
      </c>
      <c r="Q26" s="10">
        <f t="shared" si="4"/>
        <v>20.024847999999999</v>
      </c>
      <c r="R26" s="10">
        <f t="shared" si="5"/>
        <v>20.0126156</v>
      </c>
      <c r="S26" s="10">
        <f t="shared" si="6"/>
        <v>4.4816800000000392E-2</v>
      </c>
      <c r="T26" s="10">
        <f t="shared" si="7"/>
        <v>2.1200000000000187E-2</v>
      </c>
    </row>
    <row r="27" spans="1:20" x14ac:dyDescent="0.2">
      <c r="A27" s="7">
        <v>14</v>
      </c>
      <c r="B27" s="7" t="s">
        <v>59</v>
      </c>
      <c r="C27" s="7" t="s">
        <v>55</v>
      </c>
      <c r="D27" s="7" t="s">
        <v>60</v>
      </c>
      <c r="E27" s="8" t="s">
        <v>50</v>
      </c>
      <c r="F27" s="7" t="s">
        <v>61</v>
      </c>
      <c r="G27" s="9">
        <v>20.035</v>
      </c>
      <c r="H27" s="9">
        <v>20.024000000000001</v>
      </c>
      <c r="I27" s="9">
        <v>20.021000000000001</v>
      </c>
      <c r="J27" s="9">
        <v>20.021000000000001</v>
      </c>
      <c r="K27" s="9">
        <v>20.018000000000001</v>
      </c>
      <c r="L27" s="10">
        <f t="shared" si="0"/>
        <v>20.023800000000001</v>
      </c>
      <c r="M27" s="11">
        <f t="shared" si="1"/>
        <v>1.699999999999946E-2</v>
      </c>
      <c r="N27" s="12" t="str">
        <f t="shared" si="2"/>
        <v>Đạt</v>
      </c>
      <c r="O27" s="12" t="str">
        <f>IF(L27="","",IF(OR(L27&gt;$P$27,L27&lt;$R$27,M27&gt;$S$27),"XEM NGAY",""))</f>
        <v/>
      </c>
      <c r="P27" s="10">
        <f t="shared" si="3"/>
        <v>20.037080399999997</v>
      </c>
      <c r="Q27" s="10">
        <f t="shared" si="4"/>
        <v>20.024847999999999</v>
      </c>
      <c r="R27" s="10">
        <f t="shared" si="5"/>
        <v>20.0126156</v>
      </c>
      <c r="S27" s="10">
        <f t="shared" si="6"/>
        <v>4.4816800000000392E-2</v>
      </c>
      <c r="T27" s="10">
        <f t="shared" si="7"/>
        <v>2.1200000000000187E-2</v>
      </c>
    </row>
    <row r="28" spans="1:20" x14ac:dyDescent="0.2">
      <c r="A28" s="7">
        <v>15</v>
      </c>
      <c r="B28" s="7" t="s">
        <v>59</v>
      </c>
      <c r="C28" s="7" t="s">
        <v>56</v>
      </c>
      <c r="D28" s="7" t="s">
        <v>60</v>
      </c>
      <c r="E28" s="8" t="s">
        <v>50</v>
      </c>
      <c r="F28" s="7" t="s">
        <v>61</v>
      </c>
      <c r="G28" s="9">
        <v>20.026</v>
      </c>
      <c r="H28" s="9">
        <v>20.018999999999998</v>
      </c>
      <c r="I28" s="9">
        <v>20.035</v>
      </c>
      <c r="J28" s="9">
        <v>20.010000000000002</v>
      </c>
      <c r="K28" s="9">
        <v>20.016999999999999</v>
      </c>
      <c r="L28" s="10">
        <f t="shared" si="0"/>
        <v>20.0214</v>
      </c>
      <c r="M28" s="11">
        <f t="shared" si="1"/>
        <v>2.4999999999998579E-2</v>
      </c>
      <c r="N28" s="12" t="str">
        <f t="shared" si="2"/>
        <v>Đạt</v>
      </c>
      <c r="O28" s="12" t="str">
        <f>IF(L28="","",IF(OR(L28&gt;$P$28,L28&lt;$R$28,M28&gt;$S$28),"XEM NGAY",""))</f>
        <v/>
      </c>
      <c r="P28" s="10">
        <f t="shared" si="3"/>
        <v>20.037080399999997</v>
      </c>
      <c r="Q28" s="10">
        <f t="shared" si="4"/>
        <v>20.024847999999999</v>
      </c>
      <c r="R28" s="10">
        <f t="shared" si="5"/>
        <v>20.0126156</v>
      </c>
      <c r="S28" s="10">
        <f t="shared" si="6"/>
        <v>4.4816800000000392E-2</v>
      </c>
      <c r="T28" s="10">
        <f t="shared" si="7"/>
        <v>2.1200000000000187E-2</v>
      </c>
    </row>
    <row r="29" spans="1:20" x14ac:dyDescent="0.2">
      <c r="A29" s="7">
        <v>16</v>
      </c>
      <c r="B29" s="7" t="s">
        <v>59</v>
      </c>
      <c r="C29" s="7" t="s">
        <v>57</v>
      </c>
      <c r="D29" s="7" t="s">
        <v>60</v>
      </c>
      <c r="E29" s="8" t="s">
        <v>58</v>
      </c>
      <c r="F29" s="7" t="s">
        <v>61</v>
      </c>
      <c r="G29" s="9">
        <v>20.018000000000001</v>
      </c>
      <c r="H29" s="9">
        <v>20.007999999999999</v>
      </c>
      <c r="I29" s="9">
        <v>20.042000000000002</v>
      </c>
      <c r="J29" s="9">
        <v>20.006</v>
      </c>
      <c r="K29" s="9">
        <v>20.024000000000001</v>
      </c>
      <c r="L29" s="10">
        <f t="shared" si="0"/>
        <v>20.019600000000001</v>
      </c>
      <c r="M29" s="11">
        <f t="shared" si="1"/>
        <v>3.6000000000001364E-2</v>
      </c>
      <c r="N29" s="12" t="str">
        <f t="shared" si="2"/>
        <v>Đạt</v>
      </c>
      <c r="O29" s="12" t="str">
        <f>IF(L29="","",IF(OR(L29&gt;$P$29,L29&lt;$R$29,M29&gt;$S$29),"XEM NGAY",""))</f>
        <v/>
      </c>
      <c r="P29" s="10">
        <f t="shared" si="3"/>
        <v>20.037080399999997</v>
      </c>
      <c r="Q29" s="10">
        <f t="shared" si="4"/>
        <v>20.024847999999999</v>
      </c>
      <c r="R29" s="10">
        <f t="shared" si="5"/>
        <v>20.0126156</v>
      </c>
      <c r="S29" s="10">
        <f t="shared" si="6"/>
        <v>4.4816800000000392E-2</v>
      </c>
      <c r="T29" s="10">
        <f t="shared" si="7"/>
        <v>2.1200000000000187E-2</v>
      </c>
    </row>
    <row r="30" spans="1:20" x14ac:dyDescent="0.2">
      <c r="A30" s="7">
        <v>17</v>
      </c>
      <c r="B30" s="7" t="s">
        <v>62</v>
      </c>
      <c r="C30" s="7" t="s">
        <v>45</v>
      </c>
      <c r="D30" s="7" t="s">
        <v>46</v>
      </c>
      <c r="E30" s="8" t="s">
        <v>47</v>
      </c>
      <c r="F30" s="7" t="s">
        <v>63</v>
      </c>
      <c r="G30" s="9">
        <v>20.021999999999998</v>
      </c>
      <c r="H30" s="9">
        <v>20.04</v>
      </c>
      <c r="I30" s="9">
        <v>20.009</v>
      </c>
      <c r="J30" s="9">
        <v>20.035</v>
      </c>
      <c r="K30" s="9">
        <v>20.02</v>
      </c>
      <c r="L30" s="10">
        <f t="shared" si="0"/>
        <v>20.025199999999998</v>
      </c>
      <c r="M30" s="11">
        <f t="shared" si="1"/>
        <v>3.0999999999998806E-2</v>
      </c>
      <c r="N30" s="12" t="str">
        <f t="shared" si="2"/>
        <v>Đạt</v>
      </c>
      <c r="O30" s="12" t="str">
        <f>IF(L30="","",IF(OR(L30&gt;$P$30,L30&lt;$R$30,M30&gt;$S$30),"XEM NGAY",""))</f>
        <v/>
      </c>
      <c r="P30" s="10">
        <f t="shared" si="3"/>
        <v>20.037080399999997</v>
      </c>
      <c r="Q30" s="10">
        <f t="shared" si="4"/>
        <v>20.024847999999999</v>
      </c>
      <c r="R30" s="10">
        <f t="shared" si="5"/>
        <v>20.0126156</v>
      </c>
      <c r="S30" s="10">
        <f t="shared" si="6"/>
        <v>4.4816800000000392E-2</v>
      </c>
      <c r="T30" s="10">
        <f t="shared" si="7"/>
        <v>2.1200000000000187E-2</v>
      </c>
    </row>
    <row r="31" spans="1:20" x14ac:dyDescent="0.2">
      <c r="A31" s="7">
        <v>18</v>
      </c>
      <c r="B31" s="7" t="s">
        <v>62</v>
      </c>
      <c r="C31" s="7" t="s">
        <v>49</v>
      </c>
      <c r="D31" s="7" t="s">
        <v>46</v>
      </c>
      <c r="E31" s="8" t="s">
        <v>50</v>
      </c>
      <c r="F31" s="7" t="s">
        <v>63</v>
      </c>
      <c r="G31" s="9">
        <v>20.024999999999999</v>
      </c>
      <c r="H31" s="9">
        <v>20.02</v>
      </c>
      <c r="I31" s="9">
        <v>20.030999999999999</v>
      </c>
      <c r="J31" s="9">
        <v>20.015999999999998</v>
      </c>
      <c r="K31" s="9">
        <v>20.024999999999999</v>
      </c>
      <c r="L31" s="10">
        <f t="shared" si="0"/>
        <v>20.023399999999999</v>
      </c>
      <c r="M31" s="11">
        <f t="shared" si="1"/>
        <v>1.5000000000000568E-2</v>
      </c>
      <c r="N31" s="12" t="str">
        <f t="shared" si="2"/>
        <v>Đạt</v>
      </c>
      <c r="O31" s="12" t="str">
        <f>IF(L31="","",IF(OR(L31&gt;$P$31,L31&lt;$R$31,M31&gt;$S$31),"XEM NGAY",""))</f>
        <v/>
      </c>
      <c r="P31" s="10">
        <f t="shared" si="3"/>
        <v>20.037080399999997</v>
      </c>
      <c r="Q31" s="10">
        <f t="shared" si="4"/>
        <v>20.024847999999999</v>
      </c>
      <c r="R31" s="10">
        <f t="shared" si="5"/>
        <v>20.0126156</v>
      </c>
      <c r="S31" s="10">
        <f t="shared" si="6"/>
        <v>4.4816800000000392E-2</v>
      </c>
      <c r="T31" s="10">
        <f t="shared" si="7"/>
        <v>2.1200000000000187E-2</v>
      </c>
    </row>
    <row r="32" spans="1:20" x14ac:dyDescent="0.2">
      <c r="A32" s="7">
        <v>19</v>
      </c>
      <c r="B32" s="7" t="s">
        <v>62</v>
      </c>
      <c r="C32" s="7" t="s">
        <v>51</v>
      </c>
      <c r="D32" s="7" t="s">
        <v>46</v>
      </c>
      <c r="E32" s="8" t="s">
        <v>50</v>
      </c>
      <c r="F32" s="7" t="s">
        <v>63</v>
      </c>
      <c r="G32" s="9">
        <v>20.029</v>
      </c>
      <c r="H32" s="9">
        <v>20.041</v>
      </c>
      <c r="I32" s="9">
        <v>20.006</v>
      </c>
      <c r="J32" s="9">
        <v>20.039000000000001</v>
      </c>
      <c r="K32" s="9">
        <v>20.033999999999999</v>
      </c>
      <c r="L32" s="10">
        <f t="shared" si="0"/>
        <v>20.029800000000002</v>
      </c>
      <c r="M32" s="11">
        <f t="shared" si="1"/>
        <v>3.5000000000000142E-2</v>
      </c>
      <c r="N32" s="12" t="str">
        <f t="shared" si="2"/>
        <v>Đạt</v>
      </c>
      <c r="O32" s="12" t="str">
        <f>IF(L32="","",IF(OR(L32&gt;$P$32,L32&lt;$R$32,M32&gt;$S$32),"XEM NGAY",""))</f>
        <v/>
      </c>
      <c r="P32" s="10">
        <f t="shared" si="3"/>
        <v>20.037080399999997</v>
      </c>
      <c r="Q32" s="10">
        <f t="shared" si="4"/>
        <v>20.024847999999999</v>
      </c>
      <c r="R32" s="10">
        <f t="shared" si="5"/>
        <v>20.0126156</v>
      </c>
      <c r="S32" s="10">
        <f t="shared" si="6"/>
        <v>4.4816800000000392E-2</v>
      </c>
      <c r="T32" s="10">
        <f t="shared" si="7"/>
        <v>2.1200000000000187E-2</v>
      </c>
    </row>
    <row r="33" spans="1:20" x14ac:dyDescent="0.2">
      <c r="A33" s="7">
        <v>20</v>
      </c>
      <c r="B33" s="7" t="s">
        <v>62</v>
      </c>
      <c r="C33" s="7" t="s">
        <v>52</v>
      </c>
      <c r="D33" s="7" t="s">
        <v>46</v>
      </c>
      <c r="E33" s="8" t="s">
        <v>50</v>
      </c>
      <c r="F33" s="7" t="s">
        <v>63</v>
      </c>
      <c r="G33" s="9">
        <v>20.021999999999998</v>
      </c>
      <c r="H33" s="9">
        <v>20.029</v>
      </c>
      <c r="I33" s="9">
        <v>20.021999999999998</v>
      </c>
      <c r="J33" s="9">
        <v>20.04</v>
      </c>
      <c r="K33" s="9">
        <v>20.027999999999999</v>
      </c>
      <c r="L33" s="10">
        <f t="shared" si="0"/>
        <v>20.028199999999998</v>
      </c>
      <c r="M33" s="11">
        <f t="shared" si="1"/>
        <v>1.8000000000000682E-2</v>
      </c>
      <c r="N33" s="12" t="str">
        <f t="shared" si="2"/>
        <v>Đạt</v>
      </c>
      <c r="O33" s="12" t="str">
        <f>IF(L33="","",IF(OR(L33&gt;$P$33,L33&lt;$R$33,M33&gt;$S$33),"XEM NGAY",""))</f>
        <v/>
      </c>
      <c r="P33" s="10">
        <f t="shared" si="3"/>
        <v>20.037080399999997</v>
      </c>
      <c r="Q33" s="10">
        <f t="shared" si="4"/>
        <v>20.024847999999999</v>
      </c>
      <c r="R33" s="10">
        <f t="shared" si="5"/>
        <v>20.0126156</v>
      </c>
      <c r="S33" s="10">
        <f t="shared" si="6"/>
        <v>4.4816800000000392E-2</v>
      </c>
      <c r="T33" s="10">
        <f t="shared" si="7"/>
        <v>2.1200000000000187E-2</v>
      </c>
    </row>
    <row r="34" spans="1:20" x14ac:dyDescent="0.2">
      <c r="A34" s="7">
        <v>21</v>
      </c>
      <c r="B34" s="7" t="s">
        <v>62</v>
      </c>
      <c r="C34" s="7" t="s">
        <v>53</v>
      </c>
      <c r="D34" s="7" t="s">
        <v>46</v>
      </c>
      <c r="E34" s="8" t="s">
        <v>54</v>
      </c>
      <c r="F34" s="7" t="s">
        <v>63</v>
      </c>
      <c r="G34" s="9">
        <v>20.024000000000001</v>
      </c>
      <c r="H34" s="9">
        <v>20.024000000000001</v>
      </c>
      <c r="I34" s="9">
        <v>20.024000000000001</v>
      </c>
      <c r="J34" s="9">
        <v>20.024999999999999</v>
      </c>
      <c r="K34" s="9">
        <v>20.018999999999998</v>
      </c>
      <c r="L34" s="10">
        <f t="shared" si="0"/>
        <v>20.023200000000003</v>
      </c>
      <c r="M34" s="11">
        <f t="shared" si="1"/>
        <v>6.0000000000002274E-3</v>
      </c>
      <c r="N34" s="12" t="str">
        <f t="shared" si="2"/>
        <v>Đạt</v>
      </c>
      <c r="O34" s="12" t="str">
        <f>IF(L34="","",IF(OR(L34&gt;$P$34,L34&lt;$R$34,M34&gt;$S$34),"XEM NGAY",""))</f>
        <v/>
      </c>
      <c r="P34" s="10">
        <f t="shared" si="3"/>
        <v>20.037080399999997</v>
      </c>
      <c r="Q34" s="10">
        <f t="shared" si="4"/>
        <v>20.024847999999999</v>
      </c>
      <c r="R34" s="10">
        <f t="shared" si="5"/>
        <v>20.0126156</v>
      </c>
      <c r="S34" s="10">
        <f t="shared" si="6"/>
        <v>4.4816800000000392E-2</v>
      </c>
      <c r="T34" s="10">
        <f t="shared" si="7"/>
        <v>2.1200000000000187E-2</v>
      </c>
    </row>
    <row r="35" spans="1:20" x14ac:dyDescent="0.2">
      <c r="A35" s="7">
        <v>22</v>
      </c>
      <c r="B35" s="7" t="s">
        <v>62</v>
      </c>
      <c r="C35" s="7" t="s">
        <v>55</v>
      </c>
      <c r="D35" s="7" t="s">
        <v>46</v>
      </c>
      <c r="E35" s="8" t="s">
        <v>50</v>
      </c>
      <c r="F35" s="7" t="s">
        <v>63</v>
      </c>
      <c r="G35" s="9">
        <v>20.042999999999999</v>
      </c>
      <c r="H35" s="9">
        <v>20.010000000000002</v>
      </c>
      <c r="I35" s="9">
        <v>19.995999999999999</v>
      </c>
      <c r="J35" s="9">
        <v>20.024999999999999</v>
      </c>
      <c r="K35" s="9">
        <v>20.024999999999999</v>
      </c>
      <c r="L35" s="10">
        <f t="shared" si="0"/>
        <v>20.019799999999996</v>
      </c>
      <c r="M35" s="11">
        <f t="shared" si="1"/>
        <v>4.7000000000000597E-2</v>
      </c>
      <c r="N35" s="12" t="str">
        <f t="shared" si="2"/>
        <v>Đạt</v>
      </c>
      <c r="O35" s="12" t="str">
        <f>IF(L35="","",IF(OR(L35&gt;$P$35,L35&lt;$R$35,M35&gt;$S$35),"XEM NGAY",""))</f>
        <v>XEM NGAY</v>
      </c>
      <c r="P35" s="10">
        <f t="shared" si="3"/>
        <v>20.037080399999997</v>
      </c>
      <c r="Q35" s="10">
        <f t="shared" si="4"/>
        <v>20.024847999999999</v>
      </c>
      <c r="R35" s="10">
        <f t="shared" si="5"/>
        <v>20.0126156</v>
      </c>
      <c r="S35" s="10">
        <f t="shared" si="6"/>
        <v>4.4816800000000392E-2</v>
      </c>
      <c r="T35" s="10">
        <f t="shared" si="7"/>
        <v>2.1200000000000187E-2</v>
      </c>
    </row>
    <row r="36" spans="1:20" x14ac:dyDescent="0.2">
      <c r="A36" s="7">
        <v>23</v>
      </c>
      <c r="B36" s="7" t="s">
        <v>62</v>
      </c>
      <c r="C36" s="7" t="s">
        <v>56</v>
      </c>
      <c r="D36" s="7" t="s">
        <v>46</v>
      </c>
      <c r="E36" s="8" t="s">
        <v>50</v>
      </c>
      <c r="F36" s="7" t="s">
        <v>63</v>
      </c>
      <c r="G36" s="9">
        <v>20.029</v>
      </c>
      <c r="H36" s="9">
        <v>20.024000000000001</v>
      </c>
      <c r="I36" s="9">
        <v>20.024999999999999</v>
      </c>
      <c r="J36" s="9">
        <v>20.029</v>
      </c>
      <c r="K36" s="9">
        <v>20.033999999999999</v>
      </c>
      <c r="L36" s="10">
        <f t="shared" si="0"/>
        <v>20.028199999999998</v>
      </c>
      <c r="M36" s="11">
        <f t="shared" si="1"/>
        <v>9.9999999999980105E-3</v>
      </c>
      <c r="N36" s="12" t="str">
        <f t="shared" si="2"/>
        <v>Đạt</v>
      </c>
      <c r="O36" s="12" t="str">
        <f>IF(L36="","",IF(OR(L36&gt;$P$36,L36&lt;$R$36,M36&gt;$S$36),"XEM NGAY",""))</f>
        <v/>
      </c>
      <c r="P36" s="10">
        <f t="shared" si="3"/>
        <v>20.037080399999997</v>
      </c>
      <c r="Q36" s="10">
        <f t="shared" si="4"/>
        <v>20.024847999999999</v>
      </c>
      <c r="R36" s="10">
        <f t="shared" si="5"/>
        <v>20.0126156</v>
      </c>
      <c r="S36" s="10">
        <f t="shared" si="6"/>
        <v>4.4816800000000392E-2</v>
      </c>
      <c r="T36" s="10">
        <f t="shared" si="7"/>
        <v>2.1200000000000187E-2</v>
      </c>
    </row>
    <row r="37" spans="1:20" x14ac:dyDescent="0.2">
      <c r="A37" s="7">
        <v>24</v>
      </c>
      <c r="B37" s="7" t="s">
        <v>62</v>
      </c>
      <c r="C37" s="7" t="s">
        <v>57</v>
      </c>
      <c r="D37" s="7" t="s">
        <v>46</v>
      </c>
      <c r="E37" s="8" t="s">
        <v>58</v>
      </c>
      <c r="F37" s="7" t="s">
        <v>63</v>
      </c>
      <c r="G37" s="9">
        <v>20.021999999999998</v>
      </c>
      <c r="H37" s="9">
        <v>20.023</v>
      </c>
      <c r="I37" s="9">
        <v>20.042000000000002</v>
      </c>
      <c r="J37" s="9">
        <v>20.03</v>
      </c>
      <c r="K37" s="9">
        <v>20.018000000000001</v>
      </c>
      <c r="L37" s="10">
        <f t="shared" si="0"/>
        <v>20.027000000000001</v>
      </c>
      <c r="M37" s="11">
        <f t="shared" si="1"/>
        <v>2.4000000000000909E-2</v>
      </c>
      <c r="N37" s="12" t="str">
        <f t="shared" si="2"/>
        <v>Đạt</v>
      </c>
      <c r="O37" s="12" t="str">
        <f>IF(L37="","",IF(OR(L37&gt;$P$37,L37&lt;$R$37,M37&gt;$S$37),"XEM NGAY",""))</f>
        <v/>
      </c>
      <c r="P37" s="10">
        <f t="shared" si="3"/>
        <v>20.037080399999997</v>
      </c>
      <c r="Q37" s="10">
        <f t="shared" si="4"/>
        <v>20.024847999999999</v>
      </c>
      <c r="R37" s="10">
        <f t="shared" si="5"/>
        <v>20.0126156</v>
      </c>
      <c r="S37" s="10">
        <f t="shared" si="6"/>
        <v>4.4816800000000392E-2</v>
      </c>
      <c r="T37" s="10">
        <f t="shared" si="7"/>
        <v>2.1200000000000187E-2</v>
      </c>
    </row>
    <row r="38" spans="1:20" x14ac:dyDescent="0.2">
      <c r="A38" s="7">
        <v>25</v>
      </c>
      <c r="B38" s="7" t="s">
        <v>64</v>
      </c>
      <c r="C38" s="7" t="s">
        <v>45</v>
      </c>
      <c r="D38" s="7" t="s">
        <v>60</v>
      </c>
      <c r="E38" s="8" t="s">
        <v>47</v>
      </c>
      <c r="F38" s="7" t="s">
        <v>48</v>
      </c>
      <c r="G38" s="9">
        <v>20.045999999999999</v>
      </c>
      <c r="H38" s="9">
        <v>20.033000000000001</v>
      </c>
      <c r="I38" s="9">
        <v>20.021000000000001</v>
      </c>
      <c r="J38" s="9">
        <v>20.015999999999998</v>
      </c>
      <c r="K38" s="9">
        <v>20.029</v>
      </c>
      <c r="L38" s="10">
        <f t="shared" si="0"/>
        <v>20.029</v>
      </c>
      <c r="M38" s="11">
        <f t="shared" si="1"/>
        <v>3.0000000000001137E-2</v>
      </c>
      <c r="N38" s="12" t="str">
        <f t="shared" si="2"/>
        <v>Đạt</v>
      </c>
      <c r="O38" s="12" t="str">
        <f>IF(L38="","",IF(OR(L38&gt;$P$38,L38&lt;$R$38,M38&gt;$S$38),"XEM NGAY",""))</f>
        <v/>
      </c>
      <c r="P38" s="10">
        <f t="shared" si="3"/>
        <v>20.037080399999997</v>
      </c>
      <c r="Q38" s="10">
        <f t="shared" si="4"/>
        <v>20.024847999999999</v>
      </c>
      <c r="R38" s="10">
        <f t="shared" si="5"/>
        <v>20.0126156</v>
      </c>
      <c r="S38" s="10">
        <f t="shared" si="6"/>
        <v>4.4816800000000392E-2</v>
      </c>
      <c r="T38" s="10">
        <f t="shared" si="7"/>
        <v>2.1200000000000187E-2</v>
      </c>
    </row>
    <row r="39" spans="1:20" ht="16" x14ac:dyDescent="0.2">
      <c r="A39" s="13" t="s">
        <v>65</v>
      </c>
    </row>
    <row r="40" spans="1:20" x14ac:dyDescent="0.2">
      <c r="A40" s="27" t="s">
        <v>66</v>
      </c>
      <c r="B40" s="28"/>
      <c r="C40" s="28"/>
      <c r="D40" s="28"/>
      <c r="E40" s="14">
        <f>AVERAGE(L14:L38)</f>
        <v>20.024847999999999</v>
      </c>
    </row>
    <row r="41" spans="1:20" x14ac:dyDescent="0.2">
      <c r="A41" s="27" t="s">
        <v>67</v>
      </c>
      <c r="B41" s="28"/>
      <c r="C41" s="28"/>
      <c r="D41" s="28"/>
      <c r="E41" s="14">
        <f>AVERAGE(M14:M38)</f>
        <v>2.1200000000000187E-2</v>
      </c>
    </row>
    <row r="42" spans="1:20" x14ac:dyDescent="0.2">
      <c r="A42" s="27" t="s">
        <v>68</v>
      </c>
      <c r="B42" s="28"/>
      <c r="C42" s="28"/>
      <c r="D42" s="28"/>
      <c r="E42" s="14">
        <f>E40+J7*E41</f>
        <v>20.037080399999997</v>
      </c>
    </row>
    <row r="43" spans="1:20" x14ac:dyDescent="0.2">
      <c r="A43" s="27" t="s">
        <v>69</v>
      </c>
      <c r="B43" s="28"/>
      <c r="C43" s="28"/>
      <c r="D43" s="28"/>
      <c r="E43" s="14">
        <f>E40-J7*E41</f>
        <v>20.0126156</v>
      </c>
    </row>
    <row r="44" spans="1:20" x14ac:dyDescent="0.2">
      <c r="A44" s="27" t="s">
        <v>70</v>
      </c>
      <c r="B44" s="28"/>
      <c r="C44" s="28"/>
      <c r="D44" s="28"/>
      <c r="E44" s="14">
        <f>J9*E41</f>
        <v>4.4816800000000392E-2</v>
      </c>
    </row>
    <row r="45" spans="1:20" x14ac:dyDescent="0.2">
      <c r="A45" s="27" t="s">
        <v>71</v>
      </c>
      <c r="B45" s="28"/>
      <c r="C45" s="28"/>
      <c r="D45" s="28"/>
      <c r="E45" s="14">
        <f>J8*E41</f>
        <v>0</v>
      </c>
    </row>
    <row r="46" spans="1:20" x14ac:dyDescent="0.2">
      <c r="A46" s="27" t="s">
        <v>72</v>
      </c>
      <c r="B46" s="28"/>
      <c r="C46" s="28"/>
      <c r="D46" s="28"/>
      <c r="E46" s="15">
        <f>E41/J10</f>
        <v>9.1143594153053255E-3</v>
      </c>
    </row>
    <row r="47" spans="1:20" x14ac:dyDescent="0.2">
      <c r="A47" s="27" t="s">
        <v>73</v>
      </c>
      <c r="B47" s="28"/>
      <c r="C47" s="28"/>
      <c r="D47" s="28"/>
      <c r="E47" s="16">
        <f>IF(E46&gt;0,(J4-J5)/(6*E46),"")</f>
        <v>1.8286163522012677</v>
      </c>
    </row>
    <row r="48" spans="1:20" x14ac:dyDescent="0.2">
      <c r="A48" s="27" t="s">
        <v>74</v>
      </c>
      <c r="B48" s="28"/>
      <c r="C48" s="28"/>
      <c r="D48" s="28"/>
      <c r="E48" s="16">
        <f>IF(E46&gt;0,(J4-E40)/(3*E46),"")</f>
        <v>0.91986716981138805</v>
      </c>
    </row>
    <row r="49" spans="1:5" x14ac:dyDescent="0.2">
      <c r="A49" s="27" t="s">
        <v>75</v>
      </c>
      <c r="B49" s="28"/>
      <c r="C49" s="28"/>
      <c r="D49" s="28"/>
      <c r="E49" s="16">
        <f>IF(E46&gt;0,(E40-J5)/(3*E46),"")</f>
        <v>2.7373655345911474</v>
      </c>
    </row>
    <row r="50" spans="1:5" x14ac:dyDescent="0.2">
      <c r="A50" s="27" t="s">
        <v>76</v>
      </c>
      <c r="B50" s="28"/>
      <c r="C50" s="28"/>
      <c r="D50" s="28"/>
      <c r="E50" s="16">
        <f>IF(E46&gt;0,MIN(E48,E49),"")</f>
        <v>0.91986716981138805</v>
      </c>
    </row>
    <row r="51" spans="1:5" x14ac:dyDescent="0.2">
      <c r="A51" s="27" t="s">
        <v>77</v>
      </c>
      <c r="B51" s="28"/>
      <c r="C51" s="28"/>
      <c r="D51" s="28"/>
      <c r="E51" s="17">
        <f>COUNT(L14:L38)</f>
        <v>25</v>
      </c>
    </row>
    <row r="53" spans="1:5" x14ac:dyDescent="0.2">
      <c r="A53" s="18" t="str">
        <f>IF(AND(ISNUMBER(E47),ISNUMBER(E50)),IF(E47-E50&gt;0.2,"Cp lớn hơn Cpk nhiều ⇒ quá trình lệch tâm: chỉnh về giữa dung sai trước khi nghĩ tới việc đổi máy.",""),"")</f>
        <v>Cp lớn hơn Cpk nhiều ⇒ quá trình lệch tâm: chỉnh về giữa dung sai trước khi nghĩ tới việc đổi máy.</v>
      </c>
    </row>
    <row r="54" spans="1:5" x14ac:dyDescent="0.2">
      <c r="A54" s="19" t="str">
        <f>IF(E50="","",IF(E50&lt;1,"Cpk &lt; 1,0: đã có nguy cơ ra hàng ngoài dung sai.",IF(E50&lt;1.33,"Cpk dưới 1,33 — mức nhiều khách hàng yêu cầu.","Cpk ≥ 1,33.")))</f>
        <v>Cpk &lt; 1,0: đã có nguy cơ ra hàng ngoài dung sai.</v>
      </c>
    </row>
    <row r="55" spans="1:5" x14ac:dyDescent="0.2">
      <c r="A55" s="20" t="str">
        <f>IF(E51&lt;20,"⚠️ Chưa đủ 20 nhóm: giới hạn kiểm soát còn tạm, đừng dựa vào nó để quyết định.","")</f>
        <v/>
      </c>
    </row>
    <row r="56" spans="1:5" x14ac:dyDescent="0.2">
      <c r="A56" s="21" t="s">
        <v>78</v>
      </c>
    </row>
  </sheetData>
  <mergeCells count="37">
    <mergeCell ref="A48:D48"/>
    <mergeCell ref="D12:F12"/>
    <mergeCell ref="D9:F9"/>
    <mergeCell ref="A49:D49"/>
    <mergeCell ref="A51:D51"/>
    <mergeCell ref="A10:C10"/>
    <mergeCell ref="A45:D45"/>
    <mergeCell ref="A9:C9"/>
    <mergeCell ref="A41:D41"/>
    <mergeCell ref="A46:D46"/>
    <mergeCell ref="D10:F10"/>
    <mergeCell ref="A11:C11"/>
    <mergeCell ref="A50:D50"/>
    <mergeCell ref="A47:D47"/>
    <mergeCell ref="A44:D44"/>
    <mergeCell ref="A40:D40"/>
    <mergeCell ref="H6:I6"/>
    <mergeCell ref="A42:D42"/>
    <mergeCell ref="A8:C8"/>
    <mergeCell ref="D8:F8"/>
    <mergeCell ref="H7:I7"/>
    <mergeCell ref="A6:C6"/>
    <mergeCell ref="H8:I8"/>
    <mergeCell ref="A7:C7"/>
    <mergeCell ref="D6:F6"/>
    <mergeCell ref="D11:F11"/>
    <mergeCell ref="H10:I10"/>
    <mergeCell ref="A43:D43"/>
    <mergeCell ref="H4:I4"/>
    <mergeCell ref="A12:C12"/>
    <mergeCell ref="D7:F7"/>
    <mergeCell ref="H9:I9"/>
    <mergeCell ref="A5:C5"/>
    <mergeCell ref="D4:F4"/>
    <mergeCell ref="A4:C4"/>
    <mergeCell ref="D5:F5"/>
    <mergeCell ref="H5:I5"/>
  </mergeCells>
  <conditionalFormatting sqref="N14:N38">
    <cfRule type="expression" dxfId="1" priority="1">
      <formula>N14="KHÔNG ĐẠT"</formula>
    </cfRule>
  </conditionalFormatting>
  <conditionalFormatting sqref="O14:O38">
    <cfRule type="expression" dxfId="0" priority="2">
      <formula>O14="XEM NGAY"</formula>
    </cfRule>
  </conditionalFormatting>
  <dataValidations count="1">
    <dataValidation type="list" allowBlank="1" sqref="E14:E38" xr:uid="{00000000-0002-0000-0000-000000000000}">
      <formula1>"Đầu ca,Cuối ca,Chu kỳ,Thay dao,Đầu lô,Cuối lô,Sau điều chỉnh"</formula1>
    </dataValidation>
  </dataValidations>
  <pageMargins left="0.75" right="0.75" top="1" bottom="1" header="0.5" footer="0.5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3"/>
  <sheetViews>
    <sheetView showGridLines="0" workbookViewId="0"/>
  </sheetViews>
  <sheetFormatPr baseColWidth="10" defaultColWidth="8.83203125" defaultRowHeight="15" x14ac:dyDescent="0.2"/>
  <cols>
    <col min="1" max="1" width="110" customWidth="1"/>
  </cols>
  <sheetData>
    <row r="1" spans="1:1" ht="17" x14ac:dyDescent="0.2">
      <c r="A1" s="22" t="s">
        <v>79</v>
      </c>
    </row>
    <row r="2" spans="1:1" x14ac:dyDescent="0.2">
      <c r="A2" s="23" t="s">
        <v>80</v>
      </c>
    </row>
    <row r="3" spans="1:1" x14ac:dyDescent="0.2">
      <c r="A3" s="23" t="s">
        <v>81</v>
      </c>
    </row>
    <row r="4" spans="1:1" ht="28" x14ac:dyDescent="0.2">
      <c r="A4" s="23" t="s">
        <v>82</v>
      </c>
    </row>
    <row r="5" spans="1:1" ht="28" x14ac:dyDescent="0.2">
      <c r="A5" s="23" t="s">
        <v>83</v>
      </c>
    </row>
    <row r="6" spans="1:1" x14ac:dyDescent="0.2">
      <c r="A6" s="23" t="s">
        <v>84</v>
      </c>
    </row>
    <row r="7" spans="1:1" x14ac:dyDescent="0.2">
      <c r="A7" s="23"/>
    </row>
    <row r="8" spans="1:1" ht="28" x14ac:dyDescent="0.2">
      <c r="A8" s="23" t="s">
        <v>85</v>
      </c>
    </row>
    <row r="9" spans="1:1" x14ac:dyDescent="0.2">
      <c r="A9" s="23" t="s">
        <v>86</v>
      </c>
    </row>
    <row r="10" spans="1:1" x14ac:dyDescent="0.2">
      <c r="A10" s="23"/>
    </row>
    <row r="11" spans="1:1" x14ac:dyDescent="0.2">
      <c r="A11" s="23" t="s">
        <v>87</v>
      </c>
    </row>
    <row r="12" spans="1:1" x14ac:dyDescent="0.2">
      <c r="A12" s="23" t="s">
        <v>88</v>
      </c>
    </row>
    <row r="13" spans="1:1" x14ac:dyDescent="0.2">
      <c r="A13" s="23" t="s">
        <v>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Phiếu đo</vt:lpstr>
      <vt:lpstr>Hướng dẫn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SAMITECH</dc:creator>
  <cp:lastModifiedBy>SAMITECH</cp:lastModifiedBy>
  <dcterms:created xsi:type="dcterms:W3CDTF">2026-09-25T08:21:31Z</dcterms:created>
  <dcterms:modified xsi:type="dcterms:W3CDTF">2026-09-25T08:21:58Z</dcterms:modified>
</cp:coreProperties>
</file>